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showInkAnnotation="0" autoCompressPictures="0"/>
  <bookViews>
    <workbookView xWindow="0" yWindow="0" windowWidth="18390" windowHeight="10170" tabRatio="500"/>
  </bookViews>
  <sheets>
    <sheet name="House Details" sheetId="4" r:id="rId1"/>
    <sheet name="Takeoff" sheetId="6" r:id="rId2"/>
    <sheet name="Conduction" sheetId="1" r:id="rId3"/>
    <sheet name="Air" sheetId="2" r:id="rId4"/>
    <sheet name="Total losses" sheetId="3" r:id="rId5"/>
    <sheet name="Framing factors" sheetId="7" r:id="rId6"/>
    <sheet name="House Details (2)" sheetId="8" r:id="rId7"/>
    <sheet name="House Details (3)" sheetId="9" r:id="rId8"/>
  </sheets>
  <definedNames>
    <definedName name="Z1_">Conduction!A$38</definedName>
    <definedName name="Z2_">Conduction!A$39</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M66" i="1"/>
  <c r="G112" i="9"/>
  <c r="G111"/>
  <c r="G110"/>
  <c r="G109"/>
  <c r="E100"/>
  <c r="G98"/>
  <c r="K97"/>
  <c r="J97"/>
  <c r="G97"/>
  <c r="J96"/>
  <c r="K96" s="1"/>
  <c r="K100" s="1"/>
  <c r="G96"/>
  <c r="G100" s="1"/>
  <c r="E91"/>
  <c r="J84"/>
  <c r="G84"/>
  <c r="K84" s="1"/>
  <c r="K83"/>
  <c r="J83"/>
  <c r="G83"/>
  <c r="J82"/>
  <c r="G82"/>
  <c r="K82" s="1"/>
  <c r="J81"/>
  <c r="K81" s="1"/>
  <c r="K91" s="1"/>
  <c r="G81"/>
  <c r="G91" s="1"/>
  <c r="E92" s="1"/>
  <c r="F78"/>
  <c r="H70"/>
  <c r="H69"/>
  <c r="H67"/>
  <c r="F58"/>
  <c r="F57"/>
  <c r="J55"/>
  <c r="J57" s="1"/>
  <c r="J54"/>
  <c r="J53"/>
  <c r="J52"/>
  <c r="C27"/>
  <c r="G112" i="8"/>
  <c r="G111"/>
  <c r="G110"/>
  <c r="G109"/>
  <c r="E100"/>
  <c r="G98"/>
  <c r="J97"/>
  <c r="K97" s="1"/>
  <c r="G97"/>
  <c r="K96"/>
  <c r="J96"/>
  <c r="G96"/>
  <c r="G100" s="1"/>
  <c r="E91"/>
  <c r="J84"/>
  <c r="G84"/>
  <c r="K84" s="1"/>
  <c r="J83"/>
  <c r="G83"/>
  <c r="K83" s="1"/>
  <c r="K82"/>
  <c r="J82"/>
  <c r="G82"/>
  <c r="J81"/>
  <c r="K81" s="1"/>
  <c r="G81"/>
  <c r="G91" s="1"/>
  <c r="E92" s="1"/>
  <c r="F78"/>
  <c r="H70"/>
  <c r="H69"/>
  <c r="H67"/>
  <c r="F58"/>
  <c r="F57"/>
  <c r="J55"/>
  <c r="J54"/>
  <c r="J53"/>
  <c r="J52"/>
  <c r="J57" s="1"/>
  <c r="C27"/>
  <c r="G109" i="4"/>
  <c r="F58"/>
  <c r="N12" i="6"/>
  <c r="L18"/>
  <c r="H18" s="1"/>
  <c r="L17"/>
  <c r="H17" s="1"/>
  <c r="J32" i="7"/>
  <c r="J33"/>
  <c r="J34"/>
  <c r="J35"/>
  <c r="J36"/>
  <c r="J37"/>
  <c r="J38"/>
  <c r="J39"/>
  <c r="J40"/>
  <c r="J41"/>
  <c r="J42"/>
  <c r="J43"/>
  <c r="J44"/>
  <c r="J45"/>
  <c r="J46"/>
  <c r="J47"/>
  <c r="J48"/>
  <c r="J49"/>
  <c r="J50"/>
  <c r="J51"/>
  <c r="J31"/>
  <c r="E32"/>
  <c r="G32" s="1"/>
  <c r="E31"/>
  <c r="G31" s="1"/>
  <c r="E37"/>
  <c r="G37" s="1"/>
  <c r="E51"/>
  <c r="G51" s="1"/>
  <c r="E42"/>
  <c r="G42" s="1"/>
  <c r="E41"/>
  <c r="G41" s="1"/>
  <c r="E49"/>
  <c r="G49" s="1"/>
  <c r="E46"/>
  <c r="G46" s="1"/>
  <c r="E36"/>
  <c r="G36" s="1"/>
  <c r="E48"/>
  <c r="G48" s="1"/>
  <c r="E34"/>
  <c r="G34" s="1"/>
  <c r="E44"/>
  <c r="G44" s="1"/>
  <c r="E47"/>
  <c r="G47" s="1"/>
  <c r="E50"/>
  <c r="G50" s="1"/>
  <c r="E35"/>
  <c r="G35" s="1"/>
  <c r="E43"/>
  <c r="G43" s="1"/>
  <c r="E33"/>
  <c r="G33" s="1"/>
  <c r="E38"/>
  <c r="G38" s="1"/>
  <c r="E40"/>
  <c r="G40" s="1"/>
  <c r="E39"/>
  <c r="G39" s="1"/>
  <c r="E45"/>
  <c r="G45" s="1"/>
  <c r="I5"/>
  <c r="I18"/>
  <c r="E5"/>
  <c r="G5" s="1"/>
  <c r="E6"/>
  <c r="G6" s="1"/>
  <c r="E7"/>
  <c r="G7" s="1"/>
  <c r="E8"/>
  <c r="G8" s="1"/>
  <c r="E9"/>
  <c r="I9" s="1"/>
  <c r="E10"/>
  <c r="G10" s="1"/>
  <c r="E11"/>
  <c r="I11" s="1"/>
  <c r="E12"/>
  <c r="I12" s="1"/>
  <c r="E13"/>
  <c r="G13" s="1"/>
  <c r="E14"/>
  <c r="G14" s="1"/>
  <c r="E15"/>
  <c r="G15" s="1"/>
  <c r="E16"/>
  <c r="I16" s="1"/>
  <c r="E17"/>
  <c r="G17" s="1"/>
  <c r="E18"/>
  <c r="G18" s="1"/>
  <c r="E19"/>
  <c r="I19" s="1"/>
  <c r="E20"/>
  <c r="I20" s="1"/>
  <c r="E21"/>
  <c r="G21" s="1"/>
  <c r="E22"/>
  <c r="G22" s="1"/>
  <c r="E23"/>
  <c r="G23" s="1"/>
  <c r="E24"/>
  <c r="I24" s="1"/>
  <c r="E4"/>
  <c r="G4" s="1"/>
  <c r="C25"/>
  <c r="N14" i="6"/>
  <c r="N8"/>
  <c r="E15" i="1"/>
  <c r="G110" i="4"/>
  <c r="G111"/>
  <c r="G112"/>
  <c r="E24" i="1"/>
  <c r="F57" i="4"/>
  <c r="C27"/>
  <c r="K83" i="1"/>
  <c r="K84"/>
  <c r="K85"/>
  <c r="K86"/>
  <c r="K82"/>
  <c r="K61"/>
  <c r="K62"/>
  <c r="K63"/>
  <c r="K64"/>
  <c r="K60"/>
  <c r="I7" i="7" l="1"/>
  <c r="I8"/>
  <c r="F104" i="9"/>
  <c r="E94"/>
  <c r="E93"/>
  <c r="K91" i="8"/>
  <c r="E94"/>
  <c r="E93"/>
  <c r="K100"/>
  <c r="F104"/>
  <c r="C17" i="6"/>
  <c r="C18"/>
  <c r="I10" i="7"/>
  <c r="G9"/>
  <c r="I17"/>
  <c r="G16"/>
  <c r="I21"/>
  <c r="D26"/>
  <c r="I23"/>
  <c r="I13"/>
  <c r="I22"/>
  <c r="G24"/>
  <c r="I14"/>
  <c r="I4"/>
  <c r="I15"/>
  <c r="I6"/>
  <c r="G19"/>
  <c r="G11"/>
  <c r="G20"/>
  <c r="G12"/>
  <c r="E16" i="1"/>
  <c r="H26" i="7" l="1"/>
  <c r="F26"/>
  <c r="E100" i="4" l="1"/>
  <c r="E91"/>
  <c r="N10" i="6"/>
  <c r="L15" l="1"/>
  <c r="L10"/>
  <c r="B10" s="1"/>
  <c r="L14"/>
  <c r="L11"/>
  <c r="C11" s="1"/>
  <c r="L12"/>
  <c r="H12" s="1"/>
  <c r="L13"/>
  <c r="L16" s="1"/>
  <c r="F16" l="1"/>
  <c r="B16"/>
  <c r="C15"/>
  <c r="F15"/>
  <c r="B15"/>
  <c r="H15"/>
  <c r="B14"/>
  <c r="F14"/>
  <c r="F13"/>
  <c r="B13"/>
  <c r="H11"/>
  <c r="F10"/>
  <c r="K74" i="1"/>
  <c r="O20" i="3" l="1"/>
  <c r="O19"/>
  <c r="O18"/>
  <c r="O17"/>
  <c r="O16"/>
  <c r="K20"/>
  <c r="K19"/>
  <c r="K18"/>
  <c r="K17"/>
  <c r="K16"/>
  <c r="K29" i="1"/>
  <c r="K31"/>
  <c r="E31"/>
  <c r="E29"/>
  <c r="D13" i="2" l="1"/>
  <c r="D12"/>
  <c r="J52" i="4"/>
  <c r="J54"/>
  <c r="J55"/>
  <c r="J53"/>
  <c r="J57" l="1"/>
  <c r="F5" i="2" s="1"/>
  <c r="L76" i="1"/>
  <c r="F76"/>
  <c r="L74"/>
  <c r="K79"/>
  <c r="F74"/>
  <c r="E74"/>
  <c r="E79" s="1"/>
  <c r="I82" s="1"/>
  <c r="H82" s="1"/>
  <c r="K30"/>
  <c r="K33" s="1"/>
  <c r="K34" s="1"/>
  <c r="L52"/>
  <c r="K52"/>
  <c r="K57" s="1"/>
  <c r="L54"/>
  <c r="E30"/>
  <c r="F10"/>
  <c r="F13" s="1"/>
  <c r="E10"/>
  <c r="E13" s="1"/>
  <c r="H67" i="4"/>
  <c r="H70"/>
  <c r="E37" i="1" s="1"/>
  <c r="H69" i="4"/>
  <c r="E36" i="1" s="1"/>
  <c r="J96" i="4"/>
  <c r="J97"/>
  <c r="J84"/>
  <c r="J82"/>
  <c r="J83"/>
  <c r="J81"/>
  <c r="G97"/>
  <c r="G98"/>
  <c r="G96"/>
  <c r="G82"/>
  <c r="G83"/>
  <c r="G84"/>
  <c r="G81"/>
  <c r="F78"/>
  <c r="F52" i="1"/>
  <c r="E52"/>
  <c r="K82" i="4" l="1"/>
  <c r="N4" i="6"/>
  <c r="K81" i="4"/>
  <c r="K84"/>
  <c r="K83"/>
  <c r="G100"/>
  <c r="L79" i="1"/>
  <c r="L80" s="1"/>
  <c r="I86" s="1"/>
  <c r="H86" s="1"/>
  <c r="D7" i="2"/>
  <c r="D5"/>
  <c r="D4"/>
  <c r="F4"/>
  <c r="D3"/>
  <c r="F3"/>
  <c r="G86" i="1"/>
  <c r="K96" i="4"/>
  <c r="K97"/>
  <c r="E42" i="1"/>
  <c r="E43" s="1"/>
  <c r="F79"/>
  <c r="I85" s="1"/>
  <c r="H85" s="1"/>
  <c r="L57"/>
  <c r="L58" s="1"/>
  <c r="F14"/>
  <c r="H14" s="1"/>
  <c r="E33"/>
  <c r="E40" s="1"/>
  <c r="E41" s="1"/>
  <c r="G91" i="4"/>
  <c r="F13" i="2"/>
  <c r="F6" l="1"/>
  <c r="F19" s="1"/>
  <c r="E92" i="4"/>
  <c r="E93" s="1"/>
  <c r="N6" i="6" s="1"/>
  <c r="L6" s="1"/>
  <c r="H6" s="1"/>
  <c r="K91" i="4"/>
  <c r="J61" i="1" s="1"/>
  <c r="L9" i="6"/>
  <c r="F104" i="4"/>
  <c r="F82" i="1" s="1"/>
  <c r="L5" i="6"/>
  <c r="C5" s="1"/>
  <c r="L8"/>
  <c r="L4"/>
  <c r="D21" i="2"/>
  <c r="D20"/>
  <c r="G64" i="1"/>
  <c r="I64"/>
  <c r="H64" s="1"/>
  <c r="F7" i="2"/>
  <c r="F20" s="1"/>
  <c r="D6"/>
  <c r="D19" s="1"/>
  <c r="D29"/>
  <c r="F29"/>
  <c r="D15"/>
  <c r="J86" i="1"/>
  <c r="K100" i="4"/>
  <c r="E34" i="1"/>
  <c r="H40"/>
  <c r="H41" s="1"/>
  <c r="K40"/>
  <c r="K41" s="1"/>
  <c r="E44" s="1"/>
  <c r="M87" s="1"/>
  <c r="I40"/>
  <c r="I41" s="1"/>
  <c r="L40"/>
  <c r="L41" s="1"/>
  <c r="M40"/>
  <c r="M41" s="1"/>
  <c r="G40"/>
  <c r="G41" s="1"/>
  <c r="J40"/>
  <c r="J41" s="1"/>
  <c r="F40"/>
  <c r="F41" s="1"/>
  <c r="F12" i="2"/>
  <c r="F15" s="1"/>
  <c r="F16" s="1"/>
  <c r="E94" i="4" l="1"/>
  <c r="N7" i="6" s="1"/>
  <c r="L7" s="1"/>
  <c r="B7" s="1"/>
  <c r="L65" i="1"/>
  <c r="M65"/>
  <c r="L87"/>
  <c r="G73"/>
  <c r="E85" s="1"/>
  <c r="L86"/>
  <c r="M86"/>
  <c r="L61"/>
  <c r="M61"/>
  <c r="J83"/>
  <c r="F24" i="2"/>
  <c r="F25" s="1"/>
  <c r="F26"/>
  <c r="F27" s="1"/>
  <c r="H9" i="6"/>
  <c r="F9"/>
  <c r="C9"/>
  <c r="C19" s="1"/>
  <c r="B9"/>
  <c r="F63" i="1"/>
  <c r="F60"/>
  <c r="F85"/>
  <c r="H5" i="6"/>
  <c r="F8"/>
  <c r="B8"/>
  <c r="F4"/>
  <c r="B4"/>
  <c r="J64" i="1"/>
  <c r="F21" i="2"/>
  <c r="D16"/>
  <c r="J62" i="1"/>
  <c r="J84"/>
  <c r="F30" i="2"/>
  <c r="E57" i="1"/>
  <c r="F57"/>
  <c r="I63" s="1"/>
  <c r="H63" s="1"/>
  <c r="F7" i="6" l="1"/>
  <c r="F19" s="1"/>
  <c r="G51" i="1"/>
  <c r="F80" s="1"/>
  <c r="E82"/>
  <c r="G82" s="1"/>
  <c r="J82" s="1"/>
  <c r="L82" s="1"/>
  <c r="G85"/>
  <c r="J85" s="1"/>
  <c r="M85" s="1"/>
  <c r="B19" i="6"/>
  <c r="L64" i="1"/>
  <c r="M64"/>
  <c r="L62"/>
  <c r="M62"/>
  <c r="L84"/>
  <c r="M84"/>
  <c r="L83"/>
  <c r="M83"/>
  <c r="D24" i="2"/>
  <c r="F8" i="3" s="1"/>
  <c r="G8" s="1"/>
  <c r="D26" i="2"/>
  <c r="D27" s="1"/>
  <c r="J8" i="3"/>
  <c r="K8" s="1"/>
  <c r="H19" i="6"/>
  <c r="F32" s="1"/>
  <c r="I60" i="1"/>
  <c r="H60" s="1"/>
  <c r="D30" i="2"/>
  <c r="E36" s="1"/>
  <c r="E37" s="1"/>
  <c r="E38" s="1"/>
  <c r="L36"/>
  <c r="L37" s="1"/>
  <c r="L38" s="1"/>
  <c r="K36"/>
  <c r="K37" s="1"/>
  <c r="K38" s="1"/>
  <c r="L35"/>
  <c r="L39" s="1"/>
  <c r="K35"/>
  <c r="K39" s="1"/>
  <c r="E63" i="1" l="1"/>
  <c r="G63" s="1"/>
  <c r="J63" s="1"/>
  <c r="E60"/>
  <c r="G60" s="1"/>
  <c r="J60" s="1"/>
  <c r="M60" s="1"/>
  <c r="F58"/>
  <c r="M82"/>
  <c r="M88" s="1"/>
  <c r="L85"/>
  <c r="L88" s="1"/>
  <c r="D25" i="2"/>
  <c r="N8" i="3"/>
  <c r="O8"/>
  <c r="Q8" s="1"/>
  <c r="F33" i="6"/>
  <c r="D35" i="2"/>
  <c r="D39" s="1"/>
  <c r="E35"/>
  <c r="E39" s="1"/>
  <c r="E40" s="1"/>
  <c r="G10" i="3" s="1"/>
  <c r="F10" s="1"/>
  <c r="D36" i="2"/>
  <c r="D37" s="1"/>
  <c r="D38" s="1"/>
  <c r="K40"/>
  <c r="L40"/>
  <c r="K10" i="3" s="1"/>
  <c r="J10" s="1"/>
  <c r="L60" i="1" l="1"/>
  <c r="L63"/>
  <c r="M63"/>
  <c r="F34" i="6"/>
  <c r="D40" i="2"/>
  <c r="O10" i="3"/>
  <c r="N87" i="1"/>
  <c r="J9" i="3"/>
  <c r="N88" i="1"/>
  <c r="N84"/>
  <c r="N82"/>
  <c r="N83"/>
  <c r="N85"/>
  <c r="N86"/>
  <c r="N10" i="3"/>
  <c r="L66" i="1" l="1"/>
  <c r="N65" s="1"/>
  <c r="F35" i="6"/>
  <c r="N24" i="3"/>
  <c r="N25"/>
  <c r="Q25" s="1"/>
  <c r="N27"/>
  <c r="Q27" s="1"/>
  <c r="N26"/>
  <c r="Q26" s="1"/>
  <c r="N28"/>
  <c r="Q28" s="1"/>
  <c r="K9"/>
  <c r="J12"/>
  <c r="F9" l="1"/>
  <c r="G9" s="1"/>
  <c r="G12" s="1"/>
  <c r="H12" s="1"/>
  <c r="N61" i="1"/>
  <c r="N64"/>
  <c r="N66"/>
  <c r="N63"/>
  <c r="N60"/>
  <c r="N62"/>
  <c r="N29" i="3"/>
  <c r="Q24"/>
  <c r="Q29" s="1"/>
  <c r="J18"/>
  <c r="L18" s="1"/>
  <c r="K26" s="1"/>
  <c r="J17"/>
  <c r="L17" s="1"/>
  <c r="K25" s="1"/>
  <c r="J16"/>
  <c r="L16" s="1"/>
  <c r="K24" s="1"/>
  <c r="J20"/>
  <c r="L20" s="1"/>
  <c r="K28" s="1"/>
  <c r="J19"/>
  <c r="L19" s="1"/>
  <c r="K27" s="1"/>
  <c r="K12"/>
  <c r="L9" s="1"/>
  <c r="O9" l="1"/>
  <c r="Q9" s="1"/>
  <c r="H9"/>
  <c r="H10"/>
  <c r="N9"/>
  <c r="F12"/>
  <c r="F16" s="1"/>
  <c r="H16" s="1"/>
  <c r="G24" s="1"/>
  <c r="H8"/>
  <c r="K29"/>
  <c r="L8"/>
  <c r="L12"/>
  <c r="O12"/>
  <c r="Q12" s="1"/>
  <c r="L10"/>
  <c r="N12" l="1"/>
  <c r="N16" s="1"/>
  <c r="P16" s="1"/>
  <c r="O24" s="1"/>
  <c r="F17"/>
  <c r="H17" s="1"/>
  <c r="G25" s="1"/>
  <c r="F18"/>
  <c r="H18" s="1"/>
  <c r="G26" s="1"/>
  <c r="F19"/>
  <c r="H19" s="1"/>
  <c r="G27" s="1"/>
  <c r="F20"/>
  <c r="H20" s="1"/>
  <c r="G28" s="1"/>
  <c r="P12"/>
  <c r="P8"/>
  <c r="P10"/>
  <c r="P9"/>
  <c r="N20" l="1"/>
  <c r="P20" s="1"/>
  <c r="O28" s="1"/>
  <c r="N19"/>
  <c r="P19" s="1"/>
  <c r="P27" s="1"/>
  <c r="P24"/>
  <c r="N18"/>
  <c r="P18" s="1"/>
  <c r="P26" s="1"/>
  <c r="N17"/>
  <c r="P17" s="1"/>
  <c r="P25" s="1"/>
  <c r="G29"/>
  <c r="R16"/>
  <c r="Q16"/>
  <c r="R17" l="1"/>
  <c r="R20"/>
  <c r="Q20"/>
  <c r="R19"/>
  <c r="Q19"/>
  <c r="O27"/>
  <c r="P28"/>
  <c r="P29" s="1"/>
  <c r="R18"/>
  <c r="O26"/>
  <c r="O29" s="1"/>
  <c r="Q17"/>
  <c r="Q18"/>
  <c r="O25"/>
</calcChain>
</file>

<file path=xl/sharedStrings.xml><?xml version="1.0" encoding="utf-8"?>
<sst xmlns="http://schemas.openxmlformats.org/spreadsheetml/2006/main" count="1232" uniqueCount="490">
  <si>
    <t>A</t>
  </si>
  <si>
    <t>U</t>
  </si>
  <si>
    <t>R</t>
  </si>
  <si>
    <t>HDD</t>
  </si>
  <si>
    <t>Windows</t>
  </si>
  <si>
    <t>Doors</t>
  </si>
  <si>
    <t>Framing</t>
  </si>
  <si>
    <t>Total</t>
  </si>
  <si>
    <t>Framing Factor</t>
  </si>
  <si>
    <t>Layer</t>
  </si>
  <si>
    <t>R-value clear wall</t>
  </si>
  <si>
    <t>R-value framing</t>
  </si>
  <si>
    <t>Inside air film</t>
  </si>
  <si>
    <t>Drywall</t>
  </si>
  <si>
    <t>Insulation or framing</t>
  </si>
  <si>
    <t>OSB Sheathing</t>
  </si>
  <si>
    <t>Siding</t>
  </si>
  <si>
    <t>Outside air film</t>
  </si>
  <si>
    <t>R-value</t>
  </si>
  <si>
    <t>Total Wall R-value</t>
  </si>
  <si>
    <t>Number</t>
  </si>
  <si>
    <t>Single unit area</t>
  </si>
  <si>
    <t>Number of stories</t>
  </si>
  <si>
    <t>Clear Wall</t>
  </si>
  <si>
    <t>1 Btu</t>
  </si>
  <si>
    <t>kWh</t>
  </si>
  <si>
    <t>ft2</t>
  </si>
  <si>
    <t>%</t>
  </si>
  <si>
    <t>units</t>
  </si>
  <si>
    <t>floor area</t>
  </si>
  <si>
    <t>1 kWh</t>
  </si>
  <si>
    <t>Btu</t>
  </si>
  <si>
    <t>ft</t>
  </si>
  <si>
    <t>Ceiling Height</t>
  </si>
  <si>
    <t>stories</t>
  </si>
  <si>
    <t>Volume</t>
  </si>
  <si>
    <t>Ssf</t>
  </si>
  <si>
    <t>people</t>
  </si>
  <si>
    <t>wsf</t>
  </si>
  <si>
    <t>CFM50</t>
  </si>
  <si>
    <t>ELA</t>
  </si>
  <si>
    <t>in2</t>
  </si>
  <si>
    <t>NL</t>
  </si>
  <si>
    <t>Qinf</t>
  </si>
  <si>
    <t>ACH50</t>
  </si>
  <si>
    <t>ELR</t>
  </si>
  <si>
    <t>MLR</t>
  </si>
  <si>
    <t>Q</t>
  </si>
  <si>
    <t>Kwh</t>
  </si>
  <si>
    <t>Qtot</t>
  </si>
  <si>
    <t>Qfan</t>
  </si>
  <si>
    <t>HRV</t>
  </si>
  <si>
    <t>variable</t>
  </si>
  <si>
    <t>Bath Fan</t>
  </si>
  <si>
    <t>Units</t>
  </si>
  <si>
    <t>Number hours per day</t>
  </si>
  <si>
    <t>e (heat transfer efficiency)</t>
  </si>
  <si>
    <t>Qth</t>
  </si>
  <si>
    <t>Fan power</t>
  </si>
  <si>
    <t>W</t>
  </si>
  <si>
    <t>Qe</t>
  </si>
  <si>
    <t>Wh</t>
  </si>
  <si>
    <t>Qtotal</t>
  </si>
  <si>
    <t>SIP House</t>
  </si>
  <si>
    <t>BTU</t>
  </si>
  <si>
    <t>Air</t>
  </si>
  <si>
    <t>Conduction</t>
  </si>
  <si>
    <t>Energy Loss</t>
  </si>
  <si>
    <t>% of Total</t>
  </si>
  <si>
    <t>Blower Door test CFM50</t>
  </si>
  <si>
    <t>Improvement</t>
  </si>
  <si>
    <t>% of Stick Frame</t>
  </si>
  <si>
    <t>% of Total Improvement</t>
  </si>
  <si>
    <t>-</t>
  </si>
  <si>
    <t>Total Energy loss</t>
  </si>
  <si>
    <t>cost/unit</t>
  </si>
  <si>
    <t>Air savings</t>
  </si>
  <si>
    <t>conduction savings</t>
  </si>
  <si>
    <t>Average Air Infiltration Rate (CFM) Over a Normal Heating Season.</t>
  </si>
  <si>
    <t>Normalized Leakage Measures to Compare to National Standards</t>
  </si>
  <si>
    <t>Leaky</t>
  </si>
  <si>
    <t>Typical New</t>
  </si>
  <si>
    <t>Tight</t>
  </si>
  <si>
    <t>Supertight</t>
  </si>
  <si>
    <t>Required</t>
  </si>
  <si>
    <t>Annual Air Leakage Heat Loss</t>
  </si>
  <si>
    <t>Required ventilation for acceptable indoor air quality for this house according to ASHRAE standard 62.2-2013</t>
  </si>
  <si>
    <t>Ventilation System Options</t>
  </si>
  <si>
    <t>Running a ventilation system costs energy, Energy comparison of Bath fan vs. HRV with 80% efficiency</t>
  </si>
  <si>
    <t>Wall Thickness Inches</t>
  </si>
  <si>
    <t>Stud Thickness Inches</t>
  </si>
  <si>
    <t>Air Space</t>
  </si>
  <si>
    <t>Note: this includes all floor area within the thermal barrier or all the Heated/Cooled space</t>
  </si>
  <si>
    <t xml:space="preserve">Basement </t>
  </si>
  <si>
    <t>Include basement only if there is no insulation in the floor between the basement and first floor</t>
  </si>
  <si>
    <t>sqft</t>
  </si>
  <si>
    <r>
      <t>B</t>
    </r>
    <r>
      <rPr>
        <vertAlign val="subscript"/>
        <sz val="12"/>
        <color theme="1"/>
        <rFont val="Calibri"/>
        <family val="2"/>
        <scheme val="minor"/>
      </rPr>
      <t>fla</t>
    </r>
  </si>
  <si>
    <t>1st Floor</t>
  </si>
  <si>
    <r>
      <t>1</t>
    </r>
    <r>
      <rPr>
        <vertAlign val="subscript"/>
        <sz val="12"/>
        <color theme="1"/>
        <rFont val="Calibri"/>
        <family val="2"/>
        <scheme val="minor"/>
      </rPr>
      <t>fla</t>
    </r>
  </si>
  <si>
    <r>
      <t>2</t>
    </r>
    <r>
      <rPr>
        <vertAlign val="subscript"/>
        <sz val="12"/>
        <color theme="1"/>
        <rFont val="Calibri"/>
        <family val="2"/>
        <scheme val="minor"/>
      </rPr>
      <t>fla</t>
    </r>
  </si>
  <si>
    <t>2nd Floor</t>
  </si>
  <si>
    <t>3rd Floor</t>
  </si>
  <si>
    <r>
      <t>3</t>
    </r>
    <r>
      <rPr>
        <vertAlign val="subscript"/>
        <sz val="12"/>
        <color theme="1"/>
        <rFont val="Calibri"/>
        <family val="2"/>
        <scheme val="minor"/>
      </rPr>
      <t>fla</t>
    </r>
  </si>
  <si>
    <t>Attic</t>
  </si>
  <si>
    <r>
      <t>A</t>
    </r>
    <r>
      <rPr>
        <vertAlign val="subscript"/>
        <sz val="12"/>
        <color theme="1"/>
        <rFont val="Calibri"/>
        <family val="2"/>
        <scheme val="minor"/>
      </rPr>
      <t>fla</t>
    </r>
  </si>
  <si>
    <t>Include attic only if there is no insulation in or on top of the ceiling between the top floor and attic</t>
  </si>
  <si>
    <t>Total Floor Area</t>
  </si>
  <si>
    <r>
      <t>FL</t>
    </r>
    <r>
      <rPr>
        <vertAlign val="subscript"/>
        <sz val="12"/>
        <color theme="1"/>
        <rFont val="Calibri"/>
        <family val="2"/>
        <scheme val="minor"/>
      </rPr>
      <t>a</t>
    </r>
  </si>
  <si>
    <t>Surface Area</t>
  </si>
  <si>
    <t>Include basement walls only if there is no insulation in the floor between the basement and first floor</t>
  </si>
  <si>
    <t>Include roof surfaces only if there is no insulation in or on top of the ceiling between the top floor and attic, if the ceiling is insulated then roof surface is the ceiling area</t>
  </si>
  <si>
    <t>Basement:</t>
  </si>
  <si>
    <t>1)</t>
  </si>
  <si>
    <t>2)</t>
  </si>
  <si>
    <t>Perimeter of basement</t>
  </si>
  <si>
    <t>Average height of Above grade wall</t>
  </si>
  <si>
    <t>Average depth of Basement from grade</t>
  </si>
  <si>
    <t>Walls:</t>
  </si>
  <si>
    <t>elevation 1</t>
  </si>
  <si>
    <t>elevation 2</t>
  </si>
  <si>
    <t>elevation 3</t>
  </si>
  <si>
    <t>elevation 4</t>
  </si>
  <si>
    <t xml:space="preserve">slab </t>
  </si>
  <si>
    <t>Use either option 1) or 2) not both for Basement</t>
  </si>
  <si>
    <t>Windows:</t>
  </si>
  <si>
    <t>Type A</t>
  </si>
  <si>
    <t>Type B</t>
  </si>
  <si>
    <t>Type C</t>
  </si>
  <si>
    <t>Type D</t>
  </si>
  <si>
    <t>Type E</t>
  </si>
  <si>
    <t>Type F</t>
  </si>
  <si>
    <t>Qty</t>
  </si>
  <si>
    <t>Total Window Area</t>
  </si>
  <si>
    <t>Total Area</t>
  </si>
  <si>
    <t>Type G</t>
  </si>
  <si>
    <t>Type H</t>
  </si>
  <si>
    <t>Type I</t>
  </si>
  <si>
    <r>
      <t>W</t>
    </r>
    <r>
      <rPr>
        <vertAlign val="subscript"/>
        <sz val="12"/>
        <color theme="1"/>
        <rFont val="Calibri"/>
        <family val="2"/>
        <scheme val="minor"/>
      </rPr>
      <t>sa</t>
    </r>
  </si>
  <si>
    <t>Type 1</t>
  </si>
  <si>
    <t>Type 2</t>
  </si>
  <si>
    <t>Type 3</t>
  </si>
  <si>
    <t>Area</t>
  </si>
  <si>
    <t>Total Door Area</t>
  </si>
  <si>
    <t>Window R-value</t>
  </si>
  <si>
    <t>Window U-Value</t>
  </si>
  <si>
    <t>Window UA</t>
  </si>
  <si>
    <t>Total UA</t>
  </si>
  <si>
    <t>Door R-value</t>
  </si>
  <si>
    <t>Door U-value</t>
  </si>
  <si>
    <t>Door UA</t>
  </si>
  <si>
    <t>http://www.integritywindows.com/Spec-Finder-Pro-Double-Hung-Wood-Ultrex/</t>
  </si>
  <si>
    <r>
      <t>D</t>
    </r>
    <r>
      <rPr>
        <b/>
        <vertAlign val="subscript"/>
        <sz val="12"/>
        <color theme="1"/>
        <rFont val="Calibri"/>
        <family val="2"/>
        <scheme val="minor"/>
      </rPr>
      <t>ua</t>
    </r>
  </si>
  <si>
    <r>
      <t>WI</t>
    </r>
    <r>
      <rPr>
        <b/>
        <vertAlign val="subscript"/>
        <sz val="12"/>
        <color theme="1"/>
        <rFont val="Calibri"/>
        <family val="2"/>
        <scheme val="minor"/>
      </rPr>
      <t>ua</t>
    </r>
  </si>
  <si>
    <t>btu/hr</t>
  </si>
  <si>
    <t>Slab on Grade</t>
  </si>
  <si>
    <t>wall area - window and doors</t>
  </si>
  <si>
    <t>Basement Heat Loss</t>
  </si>
  <si>
    <t>Option 1)</t>
  </si>
  <si>
    <t xml:space="preserve">Floor over Unheated Basement </t>
  </si>
  <si>
    <t>Q (btu/hr)</t>
  </si>
  <si>
    <t>Floor R-value</t>
  </si>
  <si>
    <t>Advantec Floor Underlayment</t>
  </si>
  <si>
    <t>Finished floor (hardwood)</t>
  </si>
  <si>
    <t>Total Floor U-value</t>
  </si>
  <si>
    <t>Total Floor R-value</t>
  </si>
  <si>
    <t>R-value clear floor</t>
  </si>
  <si>
    <t>Q (btu)</t>
  </si>
  <si>
    <t>Option 2)</t>
  </si>
  <si>
    <t>Option 3)</t>
  </si>
  <si>
    <t>Basement or Crawlspace</t>
  </si>
  <si>
    <t>btu</t>
  </si>
  <si>
    <t>Framing factor</t>
  </si>
  <si>
    <t>Interior Insulation</t>
  </si>
  <si>
    <t>Concrete</t>
  </si>
  <si>
    <t>Conctrete  R per inch</t>
  </si>
  <si>
    <t>Exterior Insulation</t>
  </si>
  <si>
    <t>Total Wall U-value</t>
  </si>
  <si>
    <t>Roof Surface Area</t>
  </si>
  <si>
    <t>Note: find vertical Area from elevations</t>
  </si>
  <si>
    <t>Area Side 1</t>
  </si>
  <si>
    <t>Area Side 2</t>
  </si>
  <si>
    <t>Area Side 3</t>
  </si>
  <si>
    <t>Area Side 4</t>
  </si>
  <si>
    <t>Pitch x/12</t>
  </si>
  <si>
    <t>Adjusted Area</t>
  </si>
  <si>
    <t>Total Roof Surface Area</t>
  </si>
  <si>
    <t>Ceiling/Roof</t>
  </si>
  <si>
    <t>Basement/slab/floor</t>
  </si>
  <si>
    <t>UA</t>
  </si>
  <si>
    <t>Walls</t>
  </si>
  <si>
    <t>Roof</t>
  </si>
  <si>
    <t xml:space="preserve">Concrete Wall </t>
  </si>
  <si>
    <t>Concrete Slab</t>
  </si>
  <si>
    <t>slab Thickness Inches</t>
  </si>
  <si>
    <t>R-value floor</t>
  </si>
  <si>
    <t>R-value wall</t>
  </si>
  <si>
    <t>Q (above grade wall)</t>
  </si>
  <si>
    <r>
      <t>K</t>
    </r>
    <r>
      <rPr>
        <vertAlign val="subscript"/>
        <sz val="12"/>
        <color theme="1"/>
        <rFont val="Calibri"/>
        <family val="2"/>
        <scheme val="minor"/>
      </rPr>
      <t>soil</t>
    </r>
  </si>
  <si>
    <r>
      <t>U</t>
    </r>
    <r>
      <rPr>
        <vertAlign val="subscript"/>
        <sz val="12"/>
        <color theme="1"/>
        <rFont val="Calibri"/>
        <family val="2"/>
        <scheme val="minor"/>
      </rPr>
      <t>ave,bw</t>
    </r>
  </si>
  <si>
    <r>
      <t>U</t>
    </r>
    <r>
      <rPr>
        <vertAlign val="subscript"/>
        <sz val="12"/>
        <color theme="1"/>
        <rFont val="Calibri"/>
        <family val="2"/>
        <scheme val="minor"/>
      </rPr>
      <t>ave,bf</t>
    </r>
  </si>
  <si>
    <r>
      <t>Z</t>
    </r>
    <r>
      <rPr>
        <vertAlign val="subscript"/>
        <sz val="12"/>
        <color theme="1"/>
        <rFont val="Calibri"/>
        <family val="2"/>
        <scheme val="minor"/>
      </rPr>
      <t>1</t>
    </r>
  </si>
  <si>
    <r>
      <t>W</t>
    </r>
    <r>
      <rPr>
        <vertAlign val="subscript"/>
        <sz val="12"/>
        <color theme="1"/>
        <rFont val="Calibri"/>
        <family val="2"/>
        <scheme val="minor"/>
      </rPr>
      <t>b</t>
    </r>
  </si>
  <si>
    <t>btu/gallons</t>
  </si>
  <si>
    <t>btu/therms</t>
  </si>
  <si>
    <t>btu/Kwh</t>
  </si>
  <si>
    <t>Efficiency</t>
  </si>
  <si>
    <t>oil #2</t>
  </si>
  <si>
    <t>Nat. Gas</t>
  </si>
  <si>
    <t>Propane</t>
  </si>
  <si>
    <t>Electricity</t>
  </si>
  <si>
    <t># of units</t>
  </si>
  <si>
    <t>Total Savings/Sqft Living Area</t>
  </si>
  <si>
    <t>Total Cost/Sqft Living Area</t>
  </si>
  <si>
    <t>Total Savings/year</t>
  </si>
  <si>
    <t>Heating cost/year</t>
  </si>
  <si>
    <t>Heating cost/ year</t>
  </si>
  <si>
    <t>F</t>
  </si>
  <si>
    <t>SIP</t>
  </si>
  <si>
    <t xml:space="preserve">      Interior Living Space</t>
  </si>
  <si>
    <t>Above Grade stories</t>
  </si>
  <si>
    <t>Required HRV</t>
  </si>
  <si>
    <t xml:space="preserve">Required Fan </t>
  </si>
  <si>
    <t>Aveage Air leakage over Heating season</t>
  </si>
  <si>
    <t>ELA - Effective Leakage Area</t>
  </si>
  <si>
    <t>Total Heat loss though Air leakage over heating season</t>
  </si>
  <si>
    <t>Required Ventilation</t>
  </si>
  <si>
    <r>
      <t>ACH</t>
    </r>
    <r>
      <rPr>
        <vertAlign val="subscript"/>
        <sz val="12"/>
        <color theme="1"/>
        <rFont val="Calibri"/>
        <family val="2"/>
        <scheme val="minor"/>
      </rPr>
      <t>50</t>
    </r>
  </si>
  <si>
    <r>
      <t>CFM</t>
    </r>
    <r>
      <rPr>
        <vertAlign val="subscript"/>
        <sz val="12"/>
        <color theme="1"/>
        <rFont val="Calibri"/>
        <family val="2"/>
        <scheme val="minor"/>
      </rPr>
      <t>50</t>
    </r>
  </si>
  <si>
    <r>
      <t>ft</t>
    </r>
    <r>
      <rPr>
        <vertAlign val="superscript"/>
        <sz val="12"/>
        <color theme="1"/>
        <rFont val="Calibri"/>
        <family val="2"/>
        <scheme val="minor"/>
      </rPr>
      <t>2</t>
    </r>
  </si>
  <si>
    <r>
      <t>ft</t>
    </r>
    <r>
      <rPr>
        <vertAlign val="superscript"/>
        <sz val="12"/>
        <color theme="1"/>
        <rFont val="Calibri"/>
        <family val="2"/>
        <scheme val="minor"/>
      </rPr>
      <t>3</t>
    </r>
  </si>
  <si>
    <r>
      <t>CFM</t>
    </r>
    <r>
      <rPr>
        <vertAlign val="subscript"/>
        <sz val="12"/>
        <color theme="1"/>
        <rFont val="Calibri"/>
        <family val="2"/>
        <scheme val="minor"/>
      </rPr>
      <t>N</t>
    </r>
    <r>
      <rPr>
        <sz val="12"/>
        <color theme="1"/>
        <rFont val="Calibri"/>
        <family val="2"/>
        <scheme val="minor"/>
      </rPr>
      <t>/100Ssf</t>
    </r>
  </si>
  <si>
    <r>
      <t>CFM</t>
    </r>
    <r>
      <rPr>
        <vertAlign val="subscript"/>
        <sz val="12"/>
        <color theme="1"/>
        <rFont val="Calibri"/>
        <family val="2"/>
        <scheme val="minor"/>
      </rPr>
      <t>50</t>
    </r>
    <r>
      <rPr>
        <sz val="12"/>
        <color theme="1"/>
        <rFont val="Calibri"/>
        <family val="2"/>
        <scheme val="minor"/>
      </rPr>
      <t>/Ssf</t>
    </r>
  </si>
  <si>
    <t>R/In.Insulation</t>
  </si>
  <si>
    <t>R/In. wood</t>
  </si>
  <si>
    <r>
      <t xml:space="preserve"> Q=F*P*(T</t>
    </r>
    <r>
      <rPr>
        <vertAlign val="subscript"/>
        <sz val="12"/>
        <color theme="1"/>
        <rFont val="Calibri"/>
        <family val="2"/>
        <scheme val="minor"/>
      </rPr>
      <t>in</t>
    </r>
    <r>
      <rPr>
        <sz val="12"/>
        <color theme="1"/>
        <rFont val="Calibri"/>
        <family val="2"/>
        <scheme val="minor"/>
      </rPr>
      <t>-T</t>
    </r>
    <r>
      <rPr>
        <vertAlign val="subscript"/>
        <sz val="12"/>
        <color theme="1"/>
        <rFont val="Calibri"/>
        <family val="2"/>
        <scheme val="minor"/>
      </rPr>
      <t>D</t>
    </r>
    <r>
      <rPr>
        <sz val="12"/>
        <color theme="1"/>
        <rFont val="Calibri"/>
        <family val="2"/>
        <scheme val="minor"/>
      </rPr>
      <t>)*hrs</t>
    </r>
  </si>
  <si>
    <t>F is based on experimental data</t>
  </si>
  <si>
    <t>P is Perimeter of Slab</t>
  </si>
  <si>
    <t>Uninsulated</t>
  </si>
  <si>
    <t>2ft Horezontal Insulation (R-5)</t>
  </si>
  <si>
    <t>2ft Horezontal Insulation (R-10)</t>
  </si>
  <si>
    <t>2ft Horezontal Insulation (R-15)</t>
  </si>
  <si>
    <t>4ft Horezontal Insulation (R-5)</t>
  </si>
  <si>
    <t>4ft Horezontal Insulation (R-10)</t>
  </si>
  <si>
    <t>4ft Horezontal Insulation (R-15)</t>
  </si>
  <si>
    <t>2ft Vertical Insulation (R-5)</t>
  </si>
  <si>
    <t>2ft Vertical Insulation (R-10)</t>
  </si>
  <si>
    <t>2ft Vertical Insulation (R-15)</t>
  </si>
  <si>
    <t>4ft Vertical Insulation (R-5)</t>
  </si>
  <si>
    <t>4ft Vertical Insulation (R-10)</t>
  </si>
  <si>
    <t>4ft Vertical Insulation (R-15)</t>
  </si>
  <si>
    <t>Fully Insulated Slab (R-10)</t>
  </si>
  <si>
    <t>Thickness of Inside Insulation</t>
  </si>
  <si>
    <t>R/in. Insulation</t>
  </si>
  <si>
    <t>Thickness of Outside Insulation</t>
  </si>
  <si>
    <t>Area/ft below grade</t>
  </si>
  <si>
    <r>
      <t>Z</t>
    </r>
    <r>
      <rPr>
        <vertAlign val="subscript"/>
        <sz val="12"/>
        <color theme="1"/>
        <rFont val="Calibri"/>
        <family val="2"/>
        <scheme val="minor"/>
      </rPr>
      <t xml:space="preserve">2  </t>
    </r>
    <r>
      <rPr>
        <sz val="12"/>
        <color theme="1"/>
        <rFont val="Calibri"/>
        <family val="2"/>
        <scheme val="minor"/>
      </rPr>
      <t>(depth bottom of Wall - ft)</t>
    </r>
  </si>
  <si>
    <t>Q (basement)</t>
  </si>
  <si>
    <t>R/inch wood</t>
  </si>
  <si>
    <t>Total Roof R-value</t>
  </si>
  <si>
    <t>Conctrete/in.</t>
  </si>
  <si>
    <t>Difference in building cost</t>
  </si>
  <si>
    <t>Payback in Years for SIP vs. Typical</t>
  </si>
  <si>
    <t>Difference in building cost in $/sqft living</t>
  </si>
  <si>
    <t>inches of Inside Insulation</t>
  </si>
  <si>
    <t>Inches of Outside Insulation</t>
  </si>
  <si>
    <t>Quantity</t>
  </si>
  <si>
    <t>Counts</t>
  </si>
  <si>
    <t>Counted Object</t>
  </si>
  <si>
    <t>Unit</t>
  </si>
  <si>
    <t>lnft</t>
  </si>
  <si>
    <t>surface area of walls</t>
  </si>
  <si>
    <t>surface area of roof</t>
  </si>
  <si>
    <t>thickness of insulation</t>
  </si>
  <si>
    <t>Total of Materials SIP</t>
  </si>
  <si>
    <t>Total of Materials LFC</t>
  </si>
  <si>
    <t>LFC</t>
  </si>
  <si>
    <t>Difference</t>
  </si>
  <si>
    <t>% of Average</t>
  </si>
  <si>
    <t>City</t>
  </si>
  <si>
    <t>HDD (65)</t>
  </si>
  <si>
    <t>CDD (50)</t>
  </si>
  <si>
    <t>Anchorage</t>
  </si>
  <si>
    <t>AK</t>
  </si>
  <si>
    <t>Fairbanks</t>
  </si>
  <si>
    <t>CA</t>
  </si>
  <si>
    <t>Boulder</t>
  </si>
  <si>
    <t>CO</t>
  </si>
  <si>
    <t>Hartford</t>
  </si>
  <si>
    <t>CT</t>
  </si>
  <si>
    <t>Dover</t>
  </si>
  <si>
    <t>DE</t>
  </si>
  <si>
    <t>Honolulu</t>
  </si>
  <si>
    <t>HI</t>
  </si>
  <si>
    <t>Boise</t>
  </si>
  <si>
    <t>ID</t>
  </si>
  <si>
    <t>Chicago</t>
  </si>
  <si>
    <t>IL</t>
  </si>
  <si>
    <t>IN</t>
  </si>
  <si>
    <t>Columbus</t>
  </si>
  <si>
    <t>ME</t>
  </si>
  <si>
    <t>Bangor</t>
  </si>
  <si>
    <t>Portland</t>
  </si>
  <si>
    <t>Baltimore</t>
  </si>
  <si>
    <t>MD</t>
  </si>
  <si>
    <t>MA</t>
  </si>
  <si>
    <t>Boston</t>
  </si>
  <si>
    <t>Springfield</t>
  </si>
  <si>
    <t>Detroit</t>
  </si>
  <si>
    <t>MI</t>
  </si>
  <si>
    <t>Minneapolis-St Paul</t>
  </si>
  <si>
    <t>MN</t>
  </si>
  <si>
    <t>Berlin</t>
  </si>
  <si>
    <t>NH</t>
  </si>
  <si>
    <t>Concord</t>
  </si>
  <si>
    <t>Keene</t>
  </si>
  <si>
    <t>Portsmouth</t>
  </si>
  <si>
    <t>Atlantic City</t>
  </si>
  <si>
    <t>NJ</t>
  </si>
  <si>
    <t>Albany</t>
  </si>
  <si>
    <t>NY</t>
  </si>
  <si>
    <t>Buffalo</t>
  </si>
  <si>
    <t>NY City (central park)</t>
  </si>
  <si>
    <t>Rochester</t>
  </si>
  <si>
    <t>Schenectady</t>
  </si>
  <si>
    <t>Cleveland</t>
  </si>
  <si>
    <t>OH</t>
  </si>
  <si>
    <t>Philidelphia</t>
  </si>
  <si>
    <t>PA</t>
  </si>
  <si>
    <t>Pittsburg</t>
  </si>
  <si>
    <t>Lancaster</t>
  </si>
  <si>
    <t>Providence</t>
  </si>
  <si>
    <t>RI</t>
  </si>
  <si>
    <t>Burlington</t>
  </si>
  <si>
    <t>VT</t>
  </si>
  <si>
    <t>Rutland</t>
  </si>
  <si>
    <t>San Francisco</t>
  </si>
  <si>
    <t>Excerpt of ASHRAE 90.1 2010 Table D-1</t>
  </si>
  <si>
    <t>State</t>
  </si>
  <si>
    <t>Stud walls (2x6)</t>
  </si>
  <si>
    <t>SIP Material Cost</t>
  </si>
  <si>
    <t>LFC Material Cost</t>
  </si>
  <si>
    <t>Drywall 1/2" walls</t>
  </si>
  <si>
    <t>2x10 Roof framing</t>
  </si>
  <si>
    <t>Loose fill cellulose walls</t>
  </si>
  <si>
    <t>cuft</t>
  </si>
  <si>
    <t>Insulation Thickness in inches</t>
  </si>
  <si>
    <t>OSB 7/16"</t>
  </si>
  <si>
    <t>6.5" SIP Wall</t>
  </si>
  <si>
    <t>Drywall 1/2" roof</t>
  </si>
  <si>
    <t>SIP  Wall Framing factor</t>
  </si>
  <si>
    <t>10.25" SIP Roof</t>
  </si>
  <si>
    <t>SIP Roof Framing</t>
  </si>
  <si>
    <t>SIP Wall Framing</t>
  </si>
  <si>
    <t>Conventional Roof Framing factor (no skylights)</t>
  </si>
  <si>
    <t>SIP  Roof Framing factor (no Windows)</t>
  </si>
  <si>
    <t>Equipment Cost</t>
  </si>
  <si>
    <t>Total LFC Install</t>
  </si>
  <si>
    <t>Total SIP Install</t>
  </si>
  <si>
    <t>Installation</t>
  </si>
  <si>
    <t xml:space="preserve">OSB 7/16" roof </t>
  </si>
  <si>
    <t>loose fill cellulose Roof</t>
  </si>
  <si>
    <t xml:space="preserve">Step 1: </t>
  </si>
  <si>
    <t>Find Your Local Climate Conditions</t>
  </si>
  <si>
    <t>Heating Degree Days:</t>
  </si>
  <si>
    <t>Choose the city closest to you from the list on the right and enter the HDD (65) number into the box below</t>
  </si>
  <si>
    <t>(don't change this unless you are also changing the base temperature of your HDD)</t>
  </si>
  <si>
    <t>Design Temp.</t>
  </si>
  <si>
    <t>Interior Temp.</t>
  </si>
  <si>
    <t>Design Temperture:</t>
  </si>
  <si>
    <t>Find your area on the map below and choose the appropriate design temperature in the box below</t>
  </si>
  <si>
    <t>Ground Temperature:</t>
  </si>
  <si>
    <t>Ave. Winter Temp.</t>
  </si>
  <si>
    <t>Use map below to find the mean water temperature for your area, enter the number below</t>
  </si>
  <si>
    <t xml:space="preserve"> (this is a proxy for the ground temperature)</t>
  </si>
  <si>
    <t>Hours/year</t>
  </si>
  <si>
    <t>Step 2:</t>
  </si>
  <si>
    <t>Define the shape of your house</t>
  </si>
  <si>
    <t>Floor Area:</t>
  </si>
  <si>
    <t>If including Attic then ceiling height is average height of room</t>
  </si>
  <si>
    <r>
      <t xml:space="preserve"># of Occupants </t>
    </r>
    <r>
      <rPr>
        <b/>
        <sz val="12"/>
        <color theme="1"/>
        <rFont val="Calibri"/>
        <family val="2"/>
        <scheme val="minor"/>
      </rPr>
      <t>or</t>
    </r>
    <r>
      <rPr>
        <sz val="12"/>
        <color theme="1"/>
        <rFont val="Calibri"/>
        <family val="2"/>
        <scheme val="minor"/>
      </rPr>
      <t xml:space="preserve"> # of Bedrooms +1</t>
    </r>
  </si>
  <si>
    <t>Note:  this is includes all insulated exterior surfaces or surfaces connected to Heated and Cooled areas.</t>
  </si>
  <si>
    <t xml:space="preserve">Insulated 1st floor </t>
  </si>
  <si>
    <t>Shortest width of slab</t>
  </si>
  <si>
    <t>Total wall surface area</t>
  </si>
  <si>
    <t>Window Area</t>
  </si>
  <si>
    <t>Window R-values from Marvin's best option</t>
  </si>
  <si>
    <t>Surface Area:</t>
  </si>
  <si>
    <t>Choose from list to right</t>
  </si>
  <si>
    <t>Design btu/hr</t>
  </si>
  <si>
    <t>Q (basement slab) btu/hr</t>
  </si>
  <si>
    <t>Q (wall below ground) btu/hr</t>
  </si>
  <si>
    <t>Qbtu/yr</t>
  </si>
  <si>
    <t>Kw</t>
  </si>
  <si>
    <t>Design heat loss</t>
  </si>
  <si>
    <t>cost/unit*</t>
  </si>
  <si>
    <t>* Energy prices are average yearly prices for 2013 from US Energy Information Association</t>
  </si>
  <si>
    <t>Materials in wall and roof  does not include any thing presumed to be the same in the house</t>
  </si>
  <si>
    <t>LCF</t>
  </si>
  <si>
    <t>H1W1</t>
  </si>
  <si>
    <t>H1W2</t>
  </si>
  <si>
    <t>H1W3</t>
  </si>
  <si>
    <t>H1W4</t>
  </si>
  <si>
    <t>H2W1</t>
  </si>
  <si>
    <t>H2W2</t>
  </si>
  <si>
    <t>H3W1</t>
  </si>
  <si>
    <t>H3W2</t>
  </si>
  <si>
    <t>H3W3</t>
  </si>
  <si>
    <t>H3W4</t>
  </si>
  <si>
    <t>H3W5</t>
  </si>
  <si>
    <t>H3W6</t>
  </si>
  <si>
    <t>H3W7</t>
  </si>
  <si>
    <t>H4W1</t>
  </si>
  <si>
    <t>H4W2</t>
  </si>
  <si>
    <t>H4W3</t>
  </si>
  <si>
    <t>H4W4</t>
  </si>
  <si>
    <t>H4W5</t>
  </si>
  <si>
    <t>H4W6</t>
  </si>
  <si>
    <t>Cape</t>
  </si>
  <si>
    <t>Modern</t>
  </si>
  <si>
    <t>Big House</t>
  </si>
  <si>
    <t>Hobart</t>
  </si>
  <si>
    <t>Total Wall Area Sqft</t>
  </si>
  <si>
    <t>% of Window</t>
  </si>
  <si>
    <t>SIP % Framing</t>
  </si>
  <si>
    <t>R1</t>
  </si>
  <si>
    <t>R2</t>
  </si>
  <si>
    <t>Roof w/skylights</t>
  </si>
  <si>
    <t>area weighted averages</t>
  </si>
  <si>
    <t>SIP Framing Factor</t>
  </si>
  <si>
    <t>LCF Framing Factor</t>
  </si>
  <si>
    <t>Conventional Wall Framing %</t>
  </si>
  <si>
    <t>4.5" SIP</t>
  </si>
  <si>
    <t>6.5" SIP</t>
  </si>
  <si>
    <t>8.25"SIP</t>
  </si>
  <si>
    <t>10.25" SIP</t>
  </si>
  <si>
    <t>12.25" SIP</t>
  </si>
  <si>
    <t>2x4 Framing</t>
  </si>
  <si>
    <t>2x6 framing</t>
  </si>
  <si>
    <t>2x8 Framing</t>
  </si>
  <si>
    <t>2x10 Framing</t>
  </si>
  <si>
    <t>2x12 Framing</t>
  </si>
  <si>
    <t>Small Cape</t>
  </si>
  <si>
    <t>AVERAGE</t>
  </si>
  <si>
    <t>AVERAGES</t>
  </si>
  <si>
    <t xml:space="preserve"> Payback in Years for SIP vs. Typical</t>
  </si>
  <si>
    <t>24x30 full basement</t>
  </si>
  <si>
    <t>Mid Sized Colonial</t>
  </si>
  <si>
    <t>length of ridge</t>
  </si>
  <si>
    <t>Number of posts</t>
  </si>
  <si>
    <t>Support beams for SIP (8"x12")</t>
  </si>
  <si>
    <t>Support posts for SIP (4"x6")</t>
  </si>
  <si>
    <t>These do not include anything assumed to be equal between the two</t>
  </si>
  <si>
    <t>Foor decks, headers, windows, foundations, interior framing, plumbing, electrical, various finishes, ect….</t>
  </si>
  <si>
    <t xml:space="preserve">These numbers are National Average costs from Rsmeans,  Profit for the builders is not included </t>
  </si>
  <si>
    <t>3)</t>
  </si>
  <si>
    <t>This is in no way an accurate representation of the price of a house, it is mearly a estimator of the difference between two building types.</t>
  </si>
  <si>
    <t>4)</t>
  </si>
  <si>
    <t>National averages may or may not represent the local industry prices (all these are much lower than prices I used in practicum)</t>
  </si>
  <si>
    <t>Collar ties (2"x10")</t>
  </si>
  <si>
    <t>Conventional Roof Frame/2</t>
  </si>
  <si>
    <t>Results</t>
  </si>
  <si>
    <t>RO as % of wall</t>
  </si>
  <si>
    <t>28x48 full basement</t>
  </si>
  <si>
    <t>H shaped flat roof</t>
  </si>
  <si>
    <t xml:space="preserve">Modern </t>
  </si>
  <si>
    <t>Typical LCF</t>
  </si>
  <si>
    <t>Typical LFC</t>
  </si>
  <si>
    <t>Typical LFC House</t>
  </si>
  <si>
    <t>Typical Light Frame Construction</t>
  </si>
  <si>
    <t>4000vs300</t>
  </si>
  <si>
    <t>CFM50 LCF vs. SIP</t>
  </si>
  <si>
    <t>1800vs300</t>
  </si>
  <si>
    <t>Window % of wall</t>
  </si>
  <si>
    <t>6500vs1000</t>
  </si>
  <si>
    <t>ACH50 LCF vs.SIP</t>
  </si>
  <si>
    <t>4vs0.68</t>
  </si>
  <si>
    <t>9vs0.68</t>
  </si>
  <si>
    <t>14.6vs2.3</t>
  </si>
  <si>
    <t>1840vs140</t>
  </si>
  <si>
    <t>820vs140</t>
  </si>
  <si>
    <t>3000vs475</t>
  </si>
  <si>
    <t>4500vs340</t>
  </si>
  <si>
    <t>2000vs340</t>
  </si>
  <si>
    <t>7300vs1150</t>
  </si>
  <si>
    <t>9.0 vs. 0.68</t>
  </si>
  <si>
    <t>4.0 vs. 0.68</t>
  </si>
  <si>
    <t>14.6 vs. 2.3</t>
  </si>
  <si>
    <t>ACH50 LFC vs.SIP</t>
  </si>
  <si>
    <t>LFC %Framing</t>
  </si>
  <si>
    <t>Differnce Between LFC and SIP Framing Factors</t>
  </si>
</sst>
</file>

<file path=xl/styles.xml><?xml version="1.0" encoding="utf-8"?>
<styleSheet xmlns="http://schemas.openxmlformats.org/spreadsheetml/2006/main">
  <numFmts count="10">
    <numFmt numFmtId="44" formatCode="_(&quot;$&quot;* #,##0.00_);_(&quot;$&quot;* \(#,##0.00\);_(&quot;$&quot;* &quot;-&quot;??_);_(@_)"/>
    <numFmt numFmtId="43" formatCode="_(* #,##0.00_);_(* \(#,##0.00\);_(* &quot;-&quot;??_);_(@_)"/>
    <numFmt numFmtId="164" formatCode="&quot;$&quot;#,##0.00"/>
    <numFmt numFmtId="165" formatCode="0.0000"/>
    <numFmt numFmtId="166" formatCode="0.000"/>
    <numFmt numFmtId="167" formatCode="_(* #,##0_);_(* \(#,##0\);_(* &quot;-&quot;??_);_(@_)"/>
    <numFmt numFmtId="168" formatCode="#,##0.0000_);\(#,##0.0000\)"/>
    <numFmt numFmtId="169" formatCode="#,##0.0"/>
    <numFmt numFmtId="170" formatCode="0.0"/>
    <numFmt numFmtId="171" formatCode="0.0%"/>
  </numFmts>
  <fonts count="20">
    <font>
      <sz val="12"/>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b/>
      <sz val="12"/>
      <color theme="0"/>
      <name val="Calibri"/>
      <family val="2"/>
      <scheme val="minor"/>
    </font>
    <font>
      <b/>
      <sz val="12"/>
      <color theme="1"/>
      <name val="Calibri"/>
      <family val="2"/>
      <scheme val="minor"/>
    </font>
    <font>
      <sz val="12"/>
      <color rgb="FF000000"/>
      <name val="Calibri"/>
      <family val="2"/>
      <scheme val="minor"/>
    </font>
    <font>
      <i/>
      <sz val="12"/>
      <color theme="1"/>
      <name val="Calibri"/>
      <family val="2"/>
      <scheme val="minor"/>
    </font>
    <font>
      <b/>
      <i/>
      <sz val="12"/>
      <color theme="1"/>
      <name val="Calibri"/>
      <family val="2"/>
      <scheme val="minor"/>
    </font>
    <font>
      <b/>
      <i/>
      <sz val="12"/>
      <color rgb="FF000000"/>
      <name val="Calibri"/>
      <family val="2"/>
      <scheme val="minor"/>
    </font>
    <font>
      <b/>
      <sz val="12"/>
      <name val="Calibri"/>
      <family val="2"/>
      <scheme val="minor"/>
    </font>
    <font>
      <vertAlign val="subscript"/>
      <sz val="12"/>
      <color theme="1"/>
      <name val="Calibri"/>
      <family val="2"/>
      <scheme val="minor"/>
    </font>
    <font>
      <b/>
      <vertAlign val="subscript"/>
      <sz val="12"/>
      <color theme="1"/>
      <name val="Calibri"/>
      <family val="2"/>
      <scheme val="minor"/>
    </font>
    <font>
      <b/>
      <sz val="14"/>
      <color theme="1"/>
      <name val="Calibri"/>
      <family val="2"/>
      <scheme val="minor"/>
    </font>
    <font>
      <b/>
      <sz val="16"/>
      <color theme="1"/>
      <name val="Calibri"/>
      <family val="2"/>
      <scheme val="minor"/>
    </font>
    <font>
      <sz val="12"/>
      <name val="Calibri"/>
      <family val="2"/>
      <scheme val="minor"/>
    </font>
    <font>
      <vertAlign val="superscript"/>
      <sz val="12"/>
      <color theme="1"/>
      <name val="Calibri"/>
      <family val="2"/>
      <scheme val="minor"/>
    </font>
    <font>
      <sz val="18"/>
      <color theme="1"/>
      <name val="Calibri"/>
      <family val="2"/>
      <scheme val="minor"/>
    </font>
    <font>
      <b/>
      <sz val="14"/>
      <name val="Calibri"/>
      <family val="2"/>
      <scheme val="minor"/>
    </font>
    <font>
      <b/>
      <sz val="24"/>
      <color theme="1"/>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92D050"/>
        <bgColor indexed="64"/>
      </patternFill>
    </fill>
    <fill>
      <patternFill patternType="solid">
        <fgColor theme="4" tint="0.59999389629810485"/>
        <bgColor indexed="64"/>
      </patternFill>
    </fill>
  </fills>
  <borders count="40">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thin">
        <color indexed="64"/>
      </bottom>
      <diagonal/>
    </border>
    <border>
      <left style="thin">
        <color auto="1"/>
      </left>
      <right style="medium">
        <color auto="1"/>
      </right>
      <top style="thin">
        <color auto="1"/>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thin">
        <color indexed="64"/>
      </left>
      <right/>
      <top style="medium">
        <color indexed="64"/>
      </top>
      <bottom style="medium">
        <color indexed="64"/>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top style="medium">
        <color indexed="64"/>
      </top>
      <bottom style="thin">
        <color auto="1"/>
      </bottom>
      <diagonal/>
    </border>
    <border>
      <left style="thin">
        <color auto="1"/>
      </left>
      <right style="thin">
        <color auto="1"/>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s>
  <cellStyleXfs count="62">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74">
    <xf numFmtId="0" fontId="0" fillId="0" borderId="0" xfId="0"/>
    <xf numFmtId="0" fontId="5" fillId="0" borderId="0" xfId="0" applyFont="1"/>
    <xf numFmtId="0" fontId="7" fillId="0" borderId="0" xfId="0" applyFont="1"/>
    <xf numFmtId="0" fontId="7" fillId="0" borderId="1" xfId="0" applyFont="1" applyBorder="1"/>
    <xf numFmtId="0" fontId="0" fillId="0" borderId="1" xfId="0" applyBorder="1"/>
    <xf numFmtId="0" fontId="6" fillId="0" borderId="1" xfId="0" applyFont="1" applyBorder="1"/>
    <xf numFmtId="0" fontId="5" fillId="0" borderId="1" xfId="0" applyFont="1" applyBorder="1"/>
    <xf numFmtId="0" fontId="0" fillId="0" borderId="0" xfId="0" applyBorder="1"/>
    <xf numFmtId="0" fontId="8" fillId="0" borderId="2" xfId="0" applyFont="1" applyBorder="1"/>
    <xf numFmtId="0" fontId="0" fillId="0" borderId="1" xfId="0" applyFill="1" applyBorder="1"/>
    <xf numFmtId="0" fontId="0" fillId="0" borderId="0" xfId="0" applyFill="1" applyBorder="1"/>
    <xf numFmtId="0" fontId="0" fillId="0" borderId="6" xfId="0" applyBorder="1"/>
    <xf numFmtId="0" fontId="0" fillId="0" borderId="7" xfId="0" applyBorder="1"/>
    <xf numFmtId="0" fontId="5" fillId="0" borderId="0" xfId="0" applyFont="1" applyBorder="1"/>
    <xf numFmtId="0" fontId="8" fillId="0" borderId="9" xfId="0" applyFont="1" applyBorder="1"/>
    <xf numFmtId="0" fontId="0" fillId="0" borderId="10" xfId="0" applyBorder="1"/>
    <xf numFmtId="0" fontId="5" fillId="0" borderId="10" xfId="0" applyFont="1" applyBorder="1"/>
    <xf numFmtId="0" fontId="0" fillId="0" borderId="9" xfId="0" applyBorder="1"/>
    <xf numFmtId="0" fontId="8" fillId="0" borderId="0" xfId="0" applyFont="1" applyFill="1" applyBorder="1"/>
    <xf numFmtId="0" fontId="7" fillId="0" borderId="8" xfId="0" applyFont="1" applyBorder="1"/>
    <xf numFmtId="0" fontId="5" fillId="0" borderId="0" xfId="0" applyFont="1" applyFill="1" applyBorder="1"/>
    <xf numFmtId="0" fontId="5" fillId="0" borderId="1" xfId="0" applyFont="1" applyBorder="1" applyAlignment="1">
      <alignment wrapText="1"/>
    </xf>
    <xf numFmtId="0" fontId="5" fillId="0" borderId="1" xfId="0" applyFont="1" applyBorder="1" applyAlignment="1">
      <alignment horizontal="center"/>
    </xf>
    <xf numFmtId="0" fontId="7" fillId="0" borderId="1" xfId="0" applyFont="1" applyBorder="1" applyAlignment="1">
      <alignment wrapText="1"/>
    </xf>
    <xf numFmtId="0" fontId="5" fillId="0" borderId="0" xfId="0" applyFont="1" applyFill="1" applyBorder="1" applyAlignment="1">
      <alignment wrapText="1"/>
    </xf>
    <xf numFmtId="0" fontId="10" fillId="2" borderId="0" xfId="0" applyFont="1" applyFill="1"/>
    <xf numFmtId="0" fontId="0" fillId="2" borderId="0" xfId="0" applyFill="1"/>
    <xf numFmtId="2" fontId="0" fillId="0" borderId="0" xfId="0" applyNumberFormat="1"/>
    <xf numFmtId="2" fontId="0" fillId="3" borderId="0" xfId="0" applyNumberFormat="1" applyFill="1"/>
    <xf numFmtId="2" fontId="0" fillId="4" borderId="0" xfId="0" applyNumberFormat="1" applyFill="1"/>
    <xf numFmtId="2" fontId="8" fillId="0" borderId="1" xfId="0" applyNumberFormat="1" applyFont="1" applyBorder="1" applyAlignment="1">
      <alignment vertical="center"/>
    </xf>
    <xf numFmtId="2" fontId="0" fillId="3" borderId="1" xfId="0" applyNumberFormat="1" applyFill="1" applyBorder="1" applyAlignment="1">
      <alignment vertical="center"/>
    </xf>
    <xf numFmtId="2" fontId="0" fillId="0" borderId="1" xfId="0" applyNumberFormat="1" applyBorder="1" applyAlignment="1">
      <alignment vertical="center" wrapText="1"/>
    </xf>
    <xf numFmtId="2" fontId="0" fillId="4" borderId="1" xfId="0" applyNumberFormat="1" applyFill="1" applyBorder="1" applyAlignment="1">
      <alignment vertical="center"/>
    </xf>
    <xf numFmtId="2" fontId="8" fillId="0" borderId="1" xfId="0" applyNumberFormat="1" applyFont="1" applyBorder="1"/>
    <xf numFmtId="2" fontId="0" fillId="3" borderId="1" xfId="0" applyNumberFormat="1" applyFill="1" applyBorder="1"/>
    <xf numFmtId="2" fontId="0" fillId="0" borderId="1" xfId="0" applyNumberFormat="1" applyBorder="1" applyAlignment="1"/>
    <xf numFmtId="2" fontId="0" fillId="4" borderId="1" xfId="0" applyNumberFormat="1" applyFill="1" applyBorder="1"/>
    <xf numFmtId="2" fontId="0" fillId="0" borderId="1" xfId="0" applyNumberFormat="1" applyBorder="1" applyAlignment="1">
      <alignment horizontal="left" vertical="top" wrapText="1"/>
    </xf>
    <xf numFmtId="0" fontId="0" fillId="0" borderId="0" xfId="0" applyFont="1" applyFill="1" applyBorder="1"/>
    <xf numFmtId="0" fontId="0" fillId="6" borderId="0" xfId="0" applyFill="1"/>
    <xf numFmtId="0" fontId="0" fillId="5" borderId="0" xfId="0" applyFill="1"/>
    <xf numFmtId="0" fontId="5" fillId="0" borderId="0" xfId="0" applyFont="1" applyFill="1" applyBorder="1" applyAlignment="1">
      <alignment horizontal="right" vertical="center" wrapText="1"/>
    </xf>
    <xf numFmtId="0" fontId="0" fillId="0" borderId="0" xfId="0" applyFill="1"/>
    <xf numFmtId="0" fontId="4" fillId="0" borderId="0" xfId="0" applyFont="1" applyFill="1" applyBorder="1"/>
    <xf numFmtId="1" fontId="0" fillId="0" borderId="0" xfId="0" applyNumberFormat="1"/>
    <xf numFmtId="3" fontId="0" fillId="0" borderId="14" xfId="0" applyNumberFormat="1" applyBorder="1"/>
    <xf numFmtId="9" fontId="0" fillId="0" borderId="14" xfId="0" applyNumberFormat="1" applyBorder="1"/>
    <xf numFmtId="0" fontId="0" fillId="0" borderId="14" xfId="0" applyBorder="1"/>
    <xf numFmtId="0" fontId="7" fillId="0" borderId="14" xfId="0" applyFont="1" applyBorder="1"/>
    <xf numFmtId="9" fontId="7" fillId="0" borderId="14" xfId="0" applyNumberFormat="1" applyFont="1" applyBorder="1"/>
    <xf numFmtId="0" fontId="0" fillId="0" borderId="0" xfId="0" applyFont="1" applyAlignment="1">
      <alignment vertical="top"/>
    </xf>
    <xf numFmtId="0" fontId="6" fillId="0" borderId="0" xfId="0" applyFont="1" applyFill="1" applyBorder="1"/>
    <xf numFmtId="0" fontId="0" fillId="0" borderId="14" xfId="0" applyBorder="1" applyAlignment="1">
      <alignment wrapText="1"/>
    </xf>
    <xf numFmtId="0" fontId="0" fillId="0" borderId="1" xfId="0" applyBorder="1" applyAlignment="1">
      <alignment horizontal="center"/>
    </xf>
    <xf numFmtId="2" fontId="0" fillId="0" borderId="0" xfId="0" applyNumberFormat="1" applyAlignment="1">
      <alignment horizontal="center"/>
    </xf>
    <xf numFmtId="2" fontId="0" fillId="0" borderId="0" xfId="0" applyNumberFormat="1" applyBorder="1" applyAlignment="1">
      <alignment vertical="center"/>
    </xf>
    <xf numFmtId="2" fontId="0" fillId="0" borderId="0" xfId="0" applyNumberFormat="1" applyBorder="1" applyAlignment="1"/>
    <xf numFmtId="2" fontId="0" fillId="0" borderId="0" xfId="0" applyNumberFormat="1" applyBorder="1" applyAlignment="1">
      <alignment vertical="top"/>
    </xf>
    <xf numFmtId="0" fontId="0" fillId="0" borderId="0" xfId="0" applyNumberFormat="1" applyFill="1" applyBorder="1"/>
    <xf numFmtId="0" fontId="0" fillId="0" borderId="0" xfId="0" applyNumberFormat="1"/>
    <xf numFmtId="0" fontId="0" fillId="0" borderId="0" xfId="0" applyNumberFormat="1" applyBorder="1" applyAlignment="1"/>
    <xf numFmtId="2" fontId="5" fillId="0" borderId="0" xfId="0" applyNumberFormat="1" applyFont="1" applyBorder="1"/>
    <xf numFmtId="0" fontId="0" fillId="0" borderId="0" xfId="0" applyFont="1"/>
    <xf numFmtId="0" fontId="0" fillId="8" borderId="0" xfId="0" applyFill="1" applyBorder="1"/>
    <xf numFmtId="0" fontId="5" fillId="0" borderId="0" xfId="0" applyFont="1" applyFill="1"/>
    <xf numFmtId="0" fontId="7" fillId="0" borderId="0" xfId="0" applyFont="1" applyFill="1"/>
    <xf numFmtId="0" fontId="5" fillId="0" borderId="0" xfId="0" applyFont="1" applyFill="1" applyAlignment="1"/>
    <xf numFmtId="0" fontId="7" fillId="0" borderId="0" xfId="0" applyFont="1" applyFill="1" applyBorder="1"/>
    <xf numFmtId="2" fontId="0" fillId="0" borderId="0" xfId="0" applyNumberFormat="1" applyFill="1" applyBorder="1"/>
    <xf numFmtId="2" fontId="6" fillId="0" borderId="0" xfId="0" applyNumberFormat="1" applyFont="1" applyFill="1" applyBorder="1"/>
    <xf numFmtId="2" fontId="5" fillId="0" borderId="0" xfId="0" applyNumberFormat="1" applyFont="1" applyFill="1" applyBorder="1"/>
    <xf numFmtId="0" fontId="9" fillId="0" borderId="0" xfId="0" applyFont="1" applyFill="1" applyBorder="1"/>
    <xf numFmtId="9" fontId="0" fillId="0" borderId="0" xfId="9" applyFont="1" applyFill="1" applyBorder="1"/>
    <xf numFmtId="0" fontId="7" fillId="0" borderId="0" xfId="0" applyFont="1" applyFill="1" applyBorder="1" applyAlignment="1">
      <alignment horizontal="right" wrapText="1"/>
    </xf>
    <xf numFmtId="0" fontId="0" fillId="0" borderId="0" xfId="0" applyBorder="1" applyAlignment="1">
      <alignment horizontal="right"/>
    </xf>
    <xf numFmtId="0" fontId="0" fillId="0" borderId="0" xfId="0" applyAlignment="1">
      <alignment wrapText="1"/>
    </xf>
    <xf numFmtId="0" fontId="0" fillId="0" borderId="0" xfId="0" applyAlignment="1">
      <alignment horizontal="center" wrapText="1"/>
    </xf>
    <xf numFmtId="0" fontId="0" fillId="0" borderId="0" xfId="0" applyAlignment="1">
      <alignment horizontal="center" wrapText="1"/>
    </xf>
    <xf numFmtId="0" fontId="0" fillId="0" borderId="0" xfId="0" applyAlignment="1">
      <alignment horizontal="right"/>
    </xf>
    <xf numFmtId="166" fontId="5" fillId="0" borderId="0" xfId="0" applyNumberFormat="1" applyFont="1"/>
    <xf numFmtId="0" fontId="0" fillId="0" borderId="0" xfId="0" applyFont="1" applyBorder="1" applyAlignment="1">
      <alignment horizontal="right"/>
    </xf>
    <xf numFmtId="0" fontId="0" fillId="0" borderId="0" xfId="0" applyFill="1" applyBorder="1" applyAlignment="1">
      <alignment horizontal="left"/>
    </xf>
    <xf numFmtId="1" fontId="5" fillId="0" borderId="0" xfId="0" applyNumberFormat="1" applyFont="1"/>
    <xf numFmtId="0" fontId="0" fillId="0" borderId="1" xfId="0" applyFont="1" applyBorder="1"/>
    <xf numFmtId="0" fontId="0" fillId="0" borderId="0" xfId="0" applyFont="1" applyBorder="1"/>
    <xf numFmtId="2" fontId="0" fillId="0" borderId="0" xfId="0" applyNumberFormat="1" applyFont="1" applyBorder="1"/>
    <xf numFmtId="0" fontId="8" fillId="0" borderId="0" xfId="0" applyFont="1" applyBorder="1"/>
    <xf numFmtId="1" fontId="0" fillId="0" borderId="0" xfId="0" applyNumberFormat="1" applyBorder="1"/>
    <xf numFmtId="0" fontId="7" fillId="0" borderId="16" xfId="0" applyFont="1" applyBorder="1"/>
    <xf numFmtId="0" fontId="5" fillId="0" borderId="16" xfId="0" applyFont="1" applyBorder="1"/>
    <xf numFmtId="0" fontId="14" fillId="8" borderId="3" xfId="0" applyFont="1" applyFill="1" applyBorder="1"/>
    <xf numFmtId="0" fontId="0" fillId="8" borderId="4" xfId="0" applyFill="1" applyBorder="1"/>
    <xf numFmtId="0" fontId="0" fillId="0" borderId="16" xfId="0" applyFont="1" applyBorder="1"/>
    <xf numFmtId="0" fontId="0" fillId="0" borderId="6" xfId="0" applyFont="1" applyBorder="1"/>
    <xf numFmtId="166" fontId="0" fillId="0" borderId="0" xfId="0" applyNumberFormat="1" applyFont="1" applyBorder="1"/>
    <xf numFmtId="0" fontId="5" fillId="0" borderId="6" xfId="0" applyFont="1" applyBorder="1"/>
    <xf numFmtId="167" fontId="5" fillId="0" borderId="0" xfId="60" applyNumberFormat="1" applyFont="1" applyBorder="1"/>
    <xf numFmtId="168" fontId="0" fillId="0" borderId="0" xfId="60" applyNumberFormat="1" applyFont="1" applyBorder="1"/>
    <xf numFmtId="168" fontId="0" fillId="0" borderId="7" xfId="60" applyNumberFormat="1" applyFont="1" applyBorder="1"/>
    <xf numFmtId="0" fontId="5" fillId="0" borderId="9" xfId="0" applyFont="1" applyBorder="1"/>
    <xf numFmtId="167" fontId="5" fillId="0" borderId="10" xfId="60" applyNumberFormat="1" applyFont="1" applyBorder="1"/>
    <xf numFmtId="0" fontId="0" fillId="0" borderId="11" xfId="0" applyBorder="1"/>
    <xf numFmtId="0" fontId="0" fillId="8" borderId="5" xfId="0" applyFill="1" applyBorder="1"/>
    <xf numFmtId="0" fontId="5" fillId="0" borderId="0" xfId="0" applyFont="1" applyBorder="1" applyAlignment="1">
      <alignment horizontal="center" vertical="center" wrapText="1"/>
    </xf>
    <xf numFmtId="3" fontId="5" fillId="0" borderId="0" xfId="0" applyNumberFormat="1" applyFont="1" applyBorder="1"/>
    <xf numFmtId="9" fontId="8" fillId="0" borderId="0" xfId="0" applyNumberFormat="1" applyFont="1" applyBorder="1"/>
    <xf numFmtId="9" fontId="5" fillId="0" borderId="0" xfId="0" applyNumberFormat="1" applyFont="1" applyBorder="1"/>
    <xf numFmtId="9" fontId="0" fillId="0" borderId="0" xfId="0" applyNumberFormat="1" applyBorder="1"/>
    <xf numFmtId="3" fontId="0" fillId="0" borderId="0" xfId="0" applyNumberFormat="1" applyBorder="1"/>
    <xf numFmtId="9" fontId="7" fillId="0" borderId="0" xfId="0" applyNumberFormat="1" applyFont="1" applyBorder="1"/>
    <xf numFmtId="0" fontId="5" fillId="0" borderId="19" xfId="0" applyFont="1" applyBorder="1" applyAlignment="1">
      <alignment horizontal="center" vertical="center"/>
    </xf>
    <xf numFmtId="0" fontId="0" fillId="0" borderId="20" xfId="0" applyBorder="1" applyAlignment="1">
      <alignment wrapText="1"/>
    </xf>
    <xf numFmtId="0" fontId="5" fillId="0" borderId="6" xfId="0" applyFont="1" applyBorder="1" applyAlignment="1">
      <alignment horizontal="center" vertical="center"/>
    </xf>
    <xf numFmtId="9" fontId="0" fillId="0" borderId="7" xfId="0" applyNumberFormat="1" applyBorder="1"/>
    <xf numFmtId="9" fontId="0" fillId="0" borderId="20" xfId="0" applyNumberFormat="1" applyBorder="1" applyAlignment="1">
      <alignment horizontal="center" vertical="center"/>
    </xf>
    <xf numFmtId="0" fontId="5" fillId="0" borderId="9" xfId="0" applyFont="1" applyBorder="1" applyAlignment="1">
      <alignment horizontal="center" vertical="center" wrapText="1"/>
    </xf>
    <xf numFmtId="3" fontId="5" fillId="0" borderId="10" xfId="0" applyNumberFormat="1" applyFont="1" applyBorder="1"/>
    <xf numFmtId="9" fontId="8" fillId="0" borderId="10" xfId="0" applyNumberFormat="1" applyFont="1" applyBorder="1"/>
    <xf numFmtId="9" fontId="5" fillId="0" borderId="10" xfId="0" applyNumberFormat="1" applyFont="1" applyBorder="1"/>
    <xf numFmtId="9" fontId="0" fillId="0" borderId="11" xfId="0" applyNumberFormat="1" applyBorder="1"/>
    <xf numFmtId="0" fontId="0" fillId="8" borderId="21" xfId="0" applyFill="1" applyBorder="1"/>
    <xf numFmtId="0" fontId="0" fillId="8" borderId="22" xfId="0" applyFill="1" applyBorder="1"/>
    <xf numFmtId="0" fontId="0" fillId="8" borderId="23" xfId="0" applyFill="1" applyBorder="1"/>
    <xf numFmtId="0" fontId="0" fillId="8" borderId="14" xfId="0" applyFill="1" applyBorder="1"/>
    <xf numFmtId="9" fontId="0" fillId="8" borderId="0" xfId="0" applyNumberFormat="1" applyFill="1" applyBorder="1"/>
    <xf numFmtId="9" fontId="0" fillId="8" borderId="14" xfId="0" applyNumberFormat="1" applyFill="1" applyBorder="1"/>
    <xf numFmtId="9" fontId="5" fillId="8" borderId="10" xfId="0" applyNumberFormat="1" applyFont="1" applyFill="1" applyBorder="1"/>
    <xf numFmtId="0" fontId="5" fillId="8" borderId="10" xfId="0" applyFont="1" applyFill="1" applyBorder="1"/>
    <xf numFmtId="0" fontId="0" fillId="0" borderId="0" xfId="0" applyBorder="1" applyAlignment="1">
      <alignment horizontal="center" vertical="center"/>
    </xf>
    <xf numFmtId="164" fontId="0" fillId="0" borderId="0" xfId="0" applyNumberFormat="1" applyBorder="1"/>
    <xf numFmtId="164" fontId="0" fillId="8" borderId="0" xfId="0" applyNumberFormat="1" applyFill="1" applyBorder="1"/>
    <xf numFmtId="9" fontId="0" fillId="0" borderId="10" xfId="0" applyNumberFormat="1" applyBorder="1"/>
    <xf numFmtId="0" fontId="0" fillId="0" borderId="10" xfId="0" applyBorder="1" applyAlignment="1">
      <alignment horizontal="center" vertical="center"/>
    </xf>
    <xf numFmtId="1" fontId="0" fillId="0" borderId="10" xfId="0" applyNumberFormat="1" applyBorder="1"/>
    <xf numFmtId="164" fontId="0" fillId="0" borderId="10" xfId="0" applyNumberFormat="1" applyBorder="1"/>
    <xf numFmtId="164" fontId="0" fillId="8" borderId="10" xfId="0" applyNumberFormat="1" applyFill="1" applyBorder="1"/>
    <xf numFmtId="0" fontId="0" fillId="0" borderId="21" xfId="0" applyBorder="1"/>
    <xf numFmtId="0" fontId="0" fillId="0" borderId="22" xfId="0" applyBorder="1"/>
    <xf numFmtId="0" fontId="0" fillId="0" borderId="22" xfId="0" applyFont="1" applyBorder="1" applyAlignment="1">
      <alignment horizontal="center"/>
    </xf>
    <xf numFmtId="0" fontId="0" fillId="0" borderId="22" xfId="0" applyBorder="1" applyAlignment="1">
      <alignment horizontal="center"/>
    </xf>
    <xf numFmtId="0" fontId="0" fillId="0" borderId="22" xfId="0" applyBorder="1" applyAlignment="1">
      <alignment horizontal="center" vertical="center" wrapText="1"/>
    </xf>
    <xf numFmtId="0" fontId="0" fillId="0" borderId="22" xfId="0" applyBorder="1" applyAlignment="1">
      <alignment horizontal="center" wrapText="1"/>
    </xf>
    <xf numFmtId="0" fontId="0" fillId="0" borderId="23" xfId="0" applyBorder="1" applyAlignment="1">
      <alignment horizontal="center" vertical="center" wrapText="1"/>
    </xf>
    <xf numFmtId="164" fontId="0" fillId="0" borderId="7" xfId="0" applyNumberFormat="1" applyBorder="1"/>
    <xf numFmtId="164" fontId="0" fillId="0" borderId="11" xfId="0" applyNumberFormat="1" applyBorder="1"/>
    <xf numFmtId="0" fontId="0" fillId="0" borderId="23" xfId="0" applyBorder="1" applyAlignment="1">
      <alignment horizontal="center" wrapText="1"/>
    </xf>
    <xf numFmtId="0" fontId="0" fillId="8" borderId="12" xfId="0" applyFill="1" applyBorder="1" applyAlignment="1"/>
    <xf numFmtId="0" fontId="0" fillId="8" borderId="18" xfId="0" applyFill="1" applyBorder="1" applyAlignment="1"/>
    <xf numFmtId="0" fontId="0" fillId="8" borderId="18" xfId="0" applyFill="1" applyBorder="1"/>
    <xf numFmtId="2" fontId="0" fillId="0" borderId="1" xfId="0" applyNumberFormat="1" applyFill="1" applyBorder="1"/>
    <xf numFmtId="1" fontId="0" fillId="0" borderId="1" xfId="0" applyNumberFormat="1" applyFill="1" applyBorder="1"/>
    <xf numFmtId="0" fontId="0" fillId="5" borderId="1" xfId="0" applyFill="1" applyBorder="1"/>
    <xf numFmtId="0" fontId="0" fillId="0" borderId="0" xfId="0" applyAlignment="1"/>
    <xf numFmtId="0" fontId="0" fillId="0" borderId="0" xfId="0" applyAlignment="1">
      <alignment horizontal="center" vertical="center" wrapText="1"/>
    </xf>
    <xf numFmtId="167" fontId="0" fillId="3" borderId="0" xfId="60" applyNumberFormat="1" applyFont="1" applyFill="1"/>
    <xf numFmtId="167" fontId="0" fillId="4" borderId="0" xfId="60" applyNumberFormat="1" applyFont="1" applyFill="1"/>
    <xf numFmtId="0" fontId="0" fillId="0" borderId="6" xfId="0" applyFill="1" applyBorder="1"/>
    <xf numFmtId="0" fontId="0" fillId="5" borderId="0" xfId="0" applyFill="1" applyBorder="1"/>
    <xf numFmtId="0" fontId="0" fillId="5" borderId="1" xfId="0" applyFill="1" applyBorder="1" applyAlignment="1">
      <alignment horizontal="left"/>
    </xf>
    <xf numFmtId="0" fontId="7" fillId="0" borderId="0" xfId="0" applyFont="1" applyBorder="1"/>
    <xf numFmtId="39" fontId="0" fillId="5" borderId="0" xfId="60" applyNumberFormat="1" applyFont="1" applyFill="1" applyBorder="1"/>
    <xf numFmtId="0" fontId="0" fillId="0" borderId="4" xfId="0" applyBorder="1"/>
    <xf numFmtId="0" fontId="7" fillId="0" borderId="0" xfId="0" applyFont="1" applyBorder="1" applyAlignment="1">
      <alignment horizontal="right" wrapText="1"/>
    </xf>
    <xf numFmtId="0" fontId="0" fillId="0" borderId="3" xfId="0" applyBorder="1"/>
    <xf numFmtId="0" fontId="0" fillId="0" borderId="5" xfId="0" applyBorder="1"/>
    <xf numFmtId="0" fontId="0" fillId="2" borderId="11" xfId="0" applyFill="1" applyBorder="1"/>
    <xf numFmtId="0" fontId="5" fillId="0" borderId="0" xfId="0" applyFont="1" applyBorder="1" applyAlignment="1">
      <alignment wrapText="1"/>
    </xf>
    <xf numFmtId="164" fontId="0" fillId="5" borderId="0" xfId="0" applyNumberFormat="1" applyFill="1" applyBorder="1"/>
    <xf numFmtId="164" fontId="0" fillId="5" borderId="10" xfId="0" applyNumberFormat="1" applyFill="1" applyBorder="1"/>
    <xf numFmtId="164" fontId="0" fillId="0" borderId="0" xfId="0" applyNumberFormat="1" applyFill="1" applyBorder="1"/>
    <xf numFmtId="164" fontId="0" fillId="0" borderId="10" xfId="0" applyNumberFormat="1" applyFill="1" applyBorder="1"/>
    <xf numFmtId="0" fontId="0" fillId="0" borderId="22" xfId="0" applyBorder="1" applyAlignment="1">
      <alignment wrapText="1"/>
    </xf>
    <xf numFmtId="169" fontId="0" fillId="0" borderId="0" xfId="0" applyNumberFormat="1" applyBorder="1"/>
    <xf numFmtId="0" fontId="0" fillId="0" borderId="0" xfId="0" applyFont="1" applyBorder="1" applyAlignment="1">
      <alignment wrapText="1"/>
    </xf>
    <xf numFmtId="0" fontId="0" fillId="0" borderId="6" xfId="0" applyBorder="1" applyAlignment="1">
      <alignment wrapText="1"/>
    </xf>
    <xf numFmtId="0" fontId="0" fillId="0" borderId="1" xfId="0" applyNumberFormat="1" applyBorder="1" applyAlignment="1">
      <alignment vertical="center"/>
    </xf>
    <xf numFmtId="2" fontId="10" fillId="2" borderId="26" xfId="0" applyNumberFormat="1" applyFont="1" applyFill="1" applyBorder="1" applyAlignment="1">
      <alignment horizontal="center" vertical="center" wrapText="1"/>
    </xf>
    <xf numFmtId="0" fontId="10" fillId="2" borderId="30" xfId="0" applyFont="1" applyFill="1" applyBorder="1" applyAlignment="1">
      <alignment horizontal="center" vertical="center"/>
    </xf>
    <xf numFmtId="0" fontId="5" fillId="2" borderId="30" xfId="0" applyFont="1" applyFill="1" applyBorder="1" applyAlignment="1">
      <alignment horizontal="center" vertical="center"/>
    </xf>
    <xf numFmtId="0" fontId="5" fillId="2" borderId="27" xfId="0" applyFont="1" applyFill="1" applyBorder="1" applyAlignment="1">
      <alignment horizontal="center" vertical="center"/>
    </xf>
    <xf numFmtId="0" fontId="0" fillId="0" borderId="16" xfId="0" applyNumberFormat="1" applyBorder="1" applyAlignment="1">
      <alignment vertical="center"/>
    </xf>
    <xf numFmtId="0" fontId="0" fillId="0" borderId="15" xfId="0" applyNumberFormat="1" applyBorder="1"/>
    <xf numFmtId="0" fontId="0" fillId="0" borderId="29" xfId="0" applyNumberFormat="1" applyBorder="1"/>
    <xf numFmtId="0" fontId="5" fillId="3" borderId="1" xfId="0" applyFont="1" applyFill="1" applyBorder="1" applyAlignment="1">
      <alignment horizontal="center"/>
    </xf>
    <xf numFmtId="0" fontId="5" fillId="4" borderId="1" xfId="0" applyFont="1" applyFill="1" applyBorder="1" applyAlignment="1">
      <alignment horizontal="center"/>
    </xf>
    <xf numFmtId="0" fontId="0" fillId="0" borderId="28" xfId="0" applyNumberFormat="1" applyBorder="1" applyAlignment="1">
      <alignment vertical="center"/>
    </xf>
    <xf numFmtId="0" fontId="0" fillId="0" borderId="31" xfId="0" applyNumberFormat="1" applyFill="1" applyBorder="1" applyAlignment="1">
      <alignment vertical="center"/>
    </xf>
    <xf numFmtId="0" fontId="0" fillId="0" borderId="31" xfId="0" applyNumberFormat="1" applyBorder="1" applyAlignment="1">
      <alignment vertical="center"/>
    </xf>
    <xf numFmtId="0" fontId="0" fillId="0" borderId="1" xfId="0" applyNumberFormat="1" applyFill="1" applyBorder="1" applyAlignment="1">
      <alignment vertical="center"/>
    </xf>
    <xf numFmtId="0" fontId="0" fillId="0" borderId="15" xfId="0" applyNumberFormat="1" applyBorder="1" applyAlignment="1">
      <alignment vertical="center"/>
    </xf>
    <xf numFmtId="0" fontId="5" fillId="2" borderId="9" xfId="0" applyFont="1" applyFill="1" applyBorder="1"/>
    <xf numFmtId="0" fontId="0" fillId="2" borderId="10" xfId="0" applyFill="1" applyBorder="1"/>
    <xf numFmtId="0" fontId="5" fillId="2" borderId="10" xfId="0" applyFont="1" applyFill="1" applyBorder="1"/>
    <xf numFmtId="0" fontId="0" fillId="5" borderId="15" xfId="0" applyFill="1" applyBorder="1" applyAlignment="1">
      <alignment horizontal="left"/>
    </xf>
    <xf numFmtId="0" fontId="5" fillId="2" borderId="12" xfId="0" applyFont="1" applyFill="1" applyBorder="1"/>
    <xf numFmtId="0" fontId="7" fillId="2" borderId="24" xfId="0" applyFont="1" applyFill="1" applyBorder="1" applyAlignment="1"/>
    <xf numFmtId="0" fontId="0" fillId="2" borderId="18" xfId="0" applyFill="1" applyBorder="1"/>
    <xf numFmtId="0" fontId="0" fillId="2" borderId="13" xfId="0" applyFill="1" applyBorder="1"/>
    <xf numFmtId="0" fontId="5" fillId="2" borderId="17" xfId="0" applyFont="1" applyFill="1" applyBorder="1"/>
    <xf numFmtId="0" fontId="7" fillId="2" borderId="18" xfId="0" applyFont="1" applyFill="1" applyBorder="1"/>
    <xf numFmtId="0" fontId="0" fillId="0" borderId="1" xfId="0" applyFill="1" applyBorder="1" applyAlignment="1">
      <alignment horizontal="left"/>
    </xf>
    <xf numFmtId="0" fontId="0" fillId="0" borderId="25" xfId="0" applyFill="1" applyBorder="1" applyAlignment="1">
      <alignment horizontal="left"/>
    </xf>
    <xf numFmtId="0" fontId="0" fillId="11" borderId="25" xfId="0" applyFill="1" applyBorder="1" applyAlignment="1">
      <alignment horizontal="left"/>
    </xf>
    <xf numFmtId="2" fontId="0" fillId="11" borderId="1" xfId="0" applyNumberFormat="1" applyFill="1" applyBorder="1" applyAlignment="1">
      <alignment horizontal="left"/>
    </xf>
    <xf numFmtId="0" fontId="0" fillId="11" borderId="1" xfId="0" applyFill="1" applyBorder="1" applyAlignment="1">
      <alignment horizontal="left"/>
    </xf>
    <xf numFmtId="0" fontId="0" fillId="11" borderId="33" xfId="0" applyFill="1" applyBorder="1" applyAlignment="1">
      <alignment horizontal="left"/>
    </xf>
    <xf numFmtId="37" fontId="0" fillId="11" borderId="0" xfId="60" applyNumberFormat="1" applyFont="1" applyFill="1" applyBorder="1"/>
    <xf numFmtId="37" fontId="5" fillId="11" borderId="0" xfId="60" applyNumberFormat="1" applyFont="1" applyFill="1" applyBorder="1"/>
    <xf numFmtId="37" fontId="0" fillId="11" borderId="7" xfId="60" applyNumberFormat="1" applyFont="1" applyFill="1" applyBorder="1"/>
    <xf numFmtId="0" fontId="5" fillId="8" borderId="12"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3" xfId="0" applyFont="1" applyFill="1" applyBorder="1" applyAlignment="1">
      <alignment horizontal="center" vertical="center"/>
    </xf>
    <xf numFmtId="0" fontId="0" fillId="0" borderId="25" xfId="0" applyBorder="1"/>
    <xf numFmtId="0" fontId="0" fillId="0" borderId="25" xfId="0" applyBorder="1" applyAlignment="1">
      <alignment horizontal="center"/>
    </xf>
    <xf numFmtId="0" fontId="5" fillId="12" borderId="3" xfId="0" applyFont="1" applyFill="1" applyBorder="1"/>
    <xf numFmtId="43" fontId="5" fillId="12" borderId="5" xfId="60" applyNumberFormat="1" applyFont="1" applyFill="1" applyBorder="1"/>
    <xf numFmtId="0" fontId="5" fillId="12" borderId="6" xfId="0" applyFont="1" applyFill="1" applyBorder="1"/>
    <xf numFmtId="43" fontId="5" fillId="12" borderId="7" xfId="60" applyFont="1" applyFill="1" applyBorder="1"/>
    <xf numFmtId="0" fontId="5" fillId="12" borderId="9" xfId="0" applyFont="1" applyFill="1" applyBorder="1"/>
    <xf numFmtId="44" fontId="0" fillId="0" borderId="0" xfId="61" applyFont="1" applyFill="1" applyBorder="1"/>
    <xf numFmtId="0" fontId="0" fillId="0" borderId="25" xfId="0" applyFill="1" applyBorder="1"/>
    <xf numFmtId="9" fontId="5" fillId="12" borderId="11" xfId="9" applyFont="1" applyFill="1" applyBorder="1"/>
    <xf numFmtId="0" fontId="0" fillId="6" borderId="0" xfId="0" applyFill="1" applyBorder="1"/>
    <xf numFmtId="0" fontId="5" fillId="7" borderId="0" xfId="0" applyFont="1" applyFill="1" applyBorder="1" applyAlignment="1">
      <alignment horizontal="center"/>
    </xf>
    <xf numFmtId="0" fontId="0" fillId="0" borderId="0" xfId="0" applyBorder="1" applyAlignment="1">
      <alignment wrapText="1"/>
    </xf>
    <xf numFmtId="0" fontId="7" fillId="6" borderId="0" xfId="0" applyFont="1" applyFill="1" applyBorder="1" applyAlignment="1">
      <alignment horizontal="left" vertical="top" wrapText="1"/>
    </xf>
    <xf numFmtId="2" fontId="0" fillId="7" borderId="0" xfId="0" applyNumberFormat="1" applyFill="1" applyBorder="1"/>
    <xf numFmtId="0" fontId="7" fillId="6" borderId="0" xfId="0" applyFont="1" applyFill="1" applyBorder="1"/>
    <xf numFmtId="0" fontId="5" fillId="3" borderId="0" xfId="0" applyFont="1" applyFill="1" applyBorder="1" applyAlignment="1">
      <alignment horizontal="center"/>
    </xf>
    <xf numFmtId="2" fontId="0" fillId="3" borderId="0" xfId="0" applyNumberFormat="1" applyFill="1" applyBorder="1"/>
    <xf numFmtId="0" fontId="0" fillId="0" borderId="0" xfId="0" applyAlignment="1">
      <alignment horizontal="center" wrapText="1"/>
    </xf>
    <xf numFmtId="0" fontId="0" fillId="0" borderId="0" xfId="0" applyAlignment="1">
      <alignment horizontal="left" wrapText="1"/>
    </xf>
    <xf numFmtId="0" fontId="0" fillId="0" borderId="1" xfId="0" applyFill="1" applyBorder="1" applyAlignment="1">
      <alignment horizontal="left"/>
    </xf>
    <xf numFmtId="0" fontId="0" fillId="0" borderId="0" xfId="0" applyAlignment="1">
      <alignment horizontal="center" vertical="center" wrapText="1"/>
    </xf>
    <xf numFmtId="2" fontId="0" fillId="0" borderId="0" xfId="0" applyNumberFormat="1" applyAlignment="1">
      <alignment horizontal="center" wrapText="1"/>
    </xf>
    <xf numFmtId="0" fontId="15" fillId="0" borderId="25" xfId="0" applyFont="1" applyFill="1" applyBorder="1"/>
    <xf numFmtId="0" fontId="15" fillId="0" borderId="1" xfId="0" applyFont="1" applyFill="1" applyBorder="1"/>
    <xf numFmtId="2" fontId="0" fillId="0" borderId="25" xfId="0" applyNumberFormat="1" applyFill="1" applyBorder="1"/>
    <xf numFmtId="1" fontId="0" fillId="0" borderId="25" xfId="0" applyNumberFormat="1" applyBorder="1"/>
    <xf numFmtId="2" fontId="0" fillId="0" borderId="25" xfId="0" applyNumberFormat="1" applyBorder="1"/>
    <xf numFmtId="2" fontId="0" fillId="0" borderId="1" xfId="0" applyNumberFormat="1" applyBorder="1"/>
    <xf numFmtId="1" fontId="0" fillId="0" borderId="1" xfId="0" applyNumberFormat="1" applyBorder="1"/>
    <xf numFmtId="0" fontId="0" fillId="0" borderId="0" xfId="0" applyAlignment="1">
      <alignment horizontal="left"/>
    </xf>
    <xf numFmtId="0" fontId="5" fillId="8" borderId="34"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wrapText="1"/>
    </xf>
    <xf numFmtId="0" fontId="0" fillId="0" borderId="15" xfId="0" applyFill="1" applyBorder="1" applyAlignment="1">
      <alignment horizontal="left"/>
    </xf>
    <xf numFmtId="0" fontId="0" fillId="10" borderId="18" xfId="0" applyFill="1" applyBorder="1"/>
    <xf numFmtId="0" fontId="0" fillId="10" borderId="13" xfId="0" applyFill="1" applyBorder="1"/>
    <xf numFmtId="0" fontId="7" fillId="0" borderId="26" xfId="0" applyFont="1" applyBorder="1"/>
    <xf numFmtId="0" fontId="7" fillId="0" borderId="30" xfId="0" applyFont="1" applyBorder="1" applyAlignment="1">
      <alignment wrapText="1"/>
    </xf>
    <xf numFmtId="0" fontId="0" fillId="5" borderId="30" xfId="0" applyFill="1" applyBorder="1" applyAlignment="1">
      <alignment horizontal="left"/>
    </xf>
    <xf numFmtId="0" fontId="7" fillId="0" borderId="4" xfId="0" applyFont="1" applyFill="1" applyBorder="1" applyAlignment="1">
      <alignment horizontal="right" wrapText="1"/>
    </xf>
    <xf numFmtId="0" fontId="0" fillId="5" borderId="30" xfId="0" applyFill="1" applyBorder="1"/>
    <xf numFmtId="0" fontId="7" fillId="0" borderId="30" xfId="0" applyFont="1" applyBorder="1"/>
    <xf numFmtId="0" fontId="7" fillId="0" borderId="36" xfId="0" applyFont="1" applyBorder="1" applyAlignment="1">
      <alignment wrapText="1"/>
    </xf>
    <xf numFmtId="0" fontId="0" fillId="0" borderId="5" xfId="0" applyFill="1" applyBorder="1"/>
    <xf numFmtId="0" fontId="0" fillId="0" borderId="7" xfId="0" applyFill="1" applyBorder="1"/>
    <xf numFmtId="0" fontId="8" fillId="0" borderId="7" xfId="0" applyFont="1" applyFill="1" applyBorder="1"/>
    <xf numFmtId="0" fontId="8" fillId="0" borderId="7" xfId="0" applyFont="1" applyFill="1" applyBorder="1" applyAlignment="1">
      <alignment horizontal="center"/>
    </xf>
    <xf numFmtId="9" fontId="0" fillId="0" borderId="7" xfId="9" applyFont="1" applyBorder="1"/>
    <xf numFmtId="9" fontId="0" fillId="0" borderId="11" xfId="9" applyFont="1" applyBorder="1"/>
    <xf numFmtId="0" fontId="15" fillId="10" borderId="4" xfId="0" applyFont="1" applyFill="1" applyBorder="1"/>
    <xf numFmtId="0" fontId="15" fillId="10" borderId="5" xfId="0" applyFont="1" applyFill="1" applyBorder="1"/>
    <xf numFmtId="0" fontId="7" fillId="0" borderId="6" xfId="0" applyFont="1" applyBorder="1"/>
    <xf numFmtId="0" fontId="5" fillId="2" borderId="3" xfId="0" applyFont="1" applyFill="1" applyBorder="1"/>
    <xf numFmtId="0" fontId="0" fillId="2" borderId="4" xfId="0" applyFill="1" applyBorder="1"/>
    <xf numFmtId="0" fontId="5" fillId="2" borderId="4" xfId="0" applyFont="1" applyFill="1" applyBorder="1"/>
    <xf numFmtId="0" fontId="7" fillId="0" borderId="1" xfId="0" applyFont="1" applyFill="1" applyBorder="1" applyAlignment="1">
      <alignment horizontal="right" wrapText="1"/>
    </xf>
    <xf numFmtId="0" fontId="0" fillId="0" borderId="1" xfId="0" applyBorder="1" applyAlignment="1">
      <alignment horizontal="right"/>
    </xf>
    <xf numFmtId="165" fontId="0" fillId="0" borderId="1" xfId="0" applyNumberFormat="1" applyBorder="1"/>
    <xf numFmtId="167" fontId="0" fillId="0" borderId="1" xfId="60" applyNumberFormat="1" applyFont="1" applyBorder="1"/>
    <xf numFmtId="0" fontId="0" fillId="9" borderId="1" xfId="0" applyFill="1" applyBorder="1"/>
    <xf numFmtId="167" fontId="0" fillId="0" borderId="1" xfId="60" applyNumberFormat="1" applyFont="1" applyFill="1" applyBorder="1"/>
    <xf numFmtId="167" fontId="0" fillId="5" borderId="1" xfId="0" applyNumberFormat="1" applyFill="1" applyBorder="1"/>
    <xf numFmtId="0" fontId="8" fillId="0" borderId="32" xfId="0" applyFont="1" applyBorder="1"/>
    <xf numFmtId="0" fontId="8" fillId="0" borderId="16" xfId="0" applyFont="1" applyBorder="1"/>
    <xf numFmtId="170" fontId="0" fillId="0" borderId="1" xfId="0" applyNumberFormat="1" applyBorder="1"/>
    <xf numFmtId="170" fontId="5" fillId="0" borderId="1" xfId="0" applyNumberFormat="1" applyFont="1" applyBorder="1"/>
    <xf numFmtId="2" fontId="6" fillId="0" borderId="1" xfId="0" applyNumberFormat="1" applyFont="1" applyBorder="1"/>
    <xf numFmtId="2" fontId="5" fillId="0" borderId="1" xfId="0" applyNumberFormat="1" applyFont="1" applyBorder="1"/>
    <xf numFmtId="2" fontId="0" fillId="0" borderId="35" xfId="0" applyNumberFormat="1" applyBorder="1"/>
    <xf numFmtId="2" fontId="0" fillId="0" borderId="35" xfId="0" applyNumberFormat="1" applyFill="1" applyBorder="1"/>
    <xf numFmtId="2" fontId="5" fillId="0" borderId="35" xfId="0" applyNumberFormat="1" applyFont="1" applyBorder="1"/>
    <xf numFmtId="170" fontId="5" fillId="0" borderId="0" xfId="0" applyNumberFormat="1" applyFont="1" applyBorder="1"/>
    <xf numFmtId="170" fontId="0" fillId="9" borderId="1" xfId="0" applyNumberFormat="1" applyFill="1" applyBorder="1"/>
    <xf numFmtId="0" fontId="0" fillId="0" borderId="0" xfId="0" applyFill="1" applyBorder="1" applyAlignment="1">
      <alignment wrapText="1"/>
    </xf>
    <xf numFmtId="0" fontId="15" fillId="0" borderId="0" xfId="0" applyFont="1" applyFill="1" applyBorder="1"/>
    <xf numFmtId="0" fontId="0" fillId="0" borderId="0" xfId="0" applyFont="1" applyFill="1" applyBorder="1" applyAlignment="1">
      <alignment vertical="top"/>
    </xf>
    <xf numFmtId="0" fontId="15" fillId="0" borderId="0" xfId="0" applyFont="1" applyFill="1" applyBorder="1" applyAlignment="1">
      <alignment vertical="center"/>
    </xf>
    <xf numFmtId="0" fontId="5" fillId="0" borderId="0" xfId="0" applyFont="1" applyFill="1" applyBorder="1" applyAlignment="1">
      <alignment vertical="center"/>
    </xf>
    <xf numFmtId="43" fontId="0" fillId="4" borderId="0" xfId="60" applyNumberFormat="1" applyFont="1" applyFill="1"/>
    <xf numFmtId="43" fontId="0" fillId="3" borderId="0" xfId="60" applyNumberFormat="1" applyFont="1" applyFill="1"/>
    <xf numFmtId="0" fontId="0" fillId="0" borderId="21" xfId="0" applyFont="1" applyBorder="1" applyAlignment="1">
      <alignment horizontal="center"/>
    </xf>
    <xf numFmtId="1" fontId="0" fillId="0" borderId="6" xfId="0" applyNumberFormat="1" applyBorder="1"/>
    <xf numFmtId="1" fontId="0" fillId="0" borderId="9" xfId="0" applyNumberFormat="1" applyBorder="1"/>
    <xf numFmtId="0" fontId="5" fillId="0" borderId="14" xfId="0" applyFont="1" applyBorder="1" applyAlignment="1">
      <alignment vertical="center"/>
    </xf>
    <xf numFmtId="0" fontId="0" fillId="0" borderId="19" xfId="0" applyBorder="1"/>
    <xf numFmtId="0" fontId="0" fillId="8" borderId="13" xfId="0" applyFill="1" applyBorder="1" applyAlignment="1"/>
    <xf numFmtId="171" fontId="0" fillId="0" borderId="0" xfId="9" applyNumberFormat="1" applyFont="1"/>
    <xf numFmtId="2" fontId="0" fillId="5" borderId="1" xfId="0" applyNumberFormat="1" applyFill="1" applyBorder="1" applyAlignment="1">
      <alignment horizontal="left"/>
    </xf>
    <xf numFmtId="0" fontId="0" fillId="0" borderId="0" xfId="0" applyFill="1" applyBorder="1" applyAlignment="1">
      <alignment horizontal="center"/>
    </xf>
    <xf numFmtId="0" fontId="0" fillId="13" borderId="25" xfId="0" applyFill="1" applyBorder="1" applyAlignment="1">
      <alignment horizontal="center"/>
    </xf>
    <xf numFmtId="0" fontId="0" fillId="13" borderId="1" xfId="0" applyFill="1" applyBorder="1"/>
    <xf numFmtId="0" fontId="0" fillId="13" borderId="26" xfId="0" applyFill="1" applyBorder="1"/>
    <xf numFmtId="0" fontId="0" fillId="13" borderId="30" xfId="0" applyFill="1" applyBorder="1"/>
    <xf numFmtId="0" fontId="0" fillId="13" borderId="27" xfId="0" applyFill="1" applyBorder="1" applyAlignment="1">
      <alignment horizontal="center"/>
    </xf>
    <xf numFmtId="2" fontId="0" fillId="13" borderId="16" xfId="0" applyNumberFormat="1" applyFill="1" applyBorder="1"/>
    <xf numFmtId="0" fontId="0" fillId="13" borderId="15" xfId="0" applyFill="1" applyBorder="1" applyAlignment="1">
      <alignment horizontal="center"/>
    </xf>
    <xf numFmtId="0" fontId="0" fillId="13" borderId="16" xfId="0" applyFill="1" applyBorder="1"/>
    <xf numFmtId="0" fontId="0" fillId="13" borderId="28" xfId="0" applyFill="1" applyBorder="1"/>
    <xf numFmtId="0" fontId="0" fillId="13" borderId="31" xfId="0" applyFill="1" applyBorder="1"/>
    <xf numFmtId="0" fontId="0" fillId="13" borderId="29" xfId="0" applyFill="1" applyBorder="1" applyAlignment="1">
      <alignment horizontal="center"/>
    </xf>
    <xf numFmtId="43" fontId="5" fillId="0" borderId="9" xfId="60" applyFont="1" applyFill="1" applyBorder="1"/>
    <xf numFmtId="0" fontId="5" fillId="0" borderId="37" xfId="0" applyFont="1" applyFill="1" applyBorder="1"/>
    <xf numFmtId="0" fontId="5" fillId="0" borderId="38" xfId="0" applyFont="1" applyFill="1" applyBorder="1"/>
    <xf numFmtId="43" fontId="5" fillId="0" borderId="39" xfId="60" applyFont="1" applyFill="1" applyBorder="1"/>
    <xf numFmtId="0" fontId="5" fillId="0" borderId="10" xfId="0" applyFont="1" applyFill="1" applyBorder="1"/>
    <xf numFmtId="164" fontId="0" fillId="0" borderId="14" xfId="0" applyNumberFormat="1" applyBorder="1"/>
    <xf numFmtId="44" fontId="0" fillId="0" borderId="14" xfId="61" applyFont="1" applyFill="1" applyBorder="1"/>
    <xf numFmtId="169" fontId="0" fillId="0" borderId="14" xfId="0" applyNumberFormat="1" applyBorder="1"/>
    <xf numFmtId="164" fontId="0" fillId="0" borderId="20" xfId="0" applyNumberFormat="1" applyBorder="1"/>
    <xf numFmtId="170" fontId="0" fillId="0" borderId="10" xfId="0" applyNumberFormat="1" applyBorder="1"/>
    <xf numFmtId="0" fontId="0" fillId="0" borderId="21" xfId="0" applyFill="1" applyBorder="1" applyAlignment="1">
      <alignment horizontal="center" wrapText="1"/>
    </xf>
    <xf numFmtId="0" fontId="0" fillId="0" borderId="0" xfId="0" applyFill="1" applyBorder="1" applyAlignment="1">
      <alignment horizontal="right"/>
    </xf>
    <xf numFmtId="44" fontId="0" fillId="0" borderId="10" xfId="61" applyFont="1" applyBorder="1"/>
    <xf numFmtId="0" fontId="5" fillId="8" borderId="18" xfId="0" applyFont="1" applyFill="1" applyBorder="1" applyAlignment="1"/>
    <xf numFmtId="0" fontId="5" fillId="8" borderId="18" xfId="0" applyFont="1" applyFill="1" applyBorder="1"/>
    <xf numFmtId="44" fontId="0" fillId="0" borderId="0" xfId="61" applyFont="1" applyBorder="1"/>
    <xf numFmtId="44" fontId="0" fillId="0" borderId="7" xfId="61" applyFont="1" applyBorder="1"/>
    <xf numFmtId="0" fontId="0" fillId="0" borderId="22" xfId="0" applyFill="1" applyBorder="1" applyAlignment="1">
      <alignment horizontal="center" wrapText="1"/>
    </xf>
    <xf numFmtId="170" fontId="0" fillId="0" borderId="0" xfId="0" applyNumberFormat="1" applyBorder="1" applyAlignment="1">
      <alignment horizontal="right" vertical="center"/>
    </xf>
    <xf numFmtId="171" fontId="0" fillId="0" borderId="0" xfId="9" applyNumberFormat="1" applyFont="1" applyBorder="1"/>
    <xf numFmtId="171" fontId="0" fillId="0" borderId="0" xfId="9" applyNumberFormat="1" applyFont="1" applyFill="1" applyBorder="1"/>
    <xf numFmtId="170" fontId="0" fillId="0" borderId="0" xfId="0" applyNumberFormat="1" applyBorder="1"/>
    <xf numFmtId="0" fontId="0" fillId="0" borderId="0" xfId="0" applyAlignment="1">
      <alignment horizontal="left"/>
    </xf>
    <xf numFmtId="0" fontId="17" fillId="0" borderId="0" xfId="0" applyFont="1" applyAlignment="1">
      <alignment horizontal="center" vertical="center" wrapText="1"/>
    </xf>
    <xf numFmtId="0" fontId="0" fillId="0" borderId="0" xfId="0" applyAlignment="1">
      <alignment horizontal="left" wrapText="1"/>
    </xf>
    <xf numFmtId="0" fontId="0" fillId="0" borderId="0" xfId="0" applyAlignment="1">
      <alignment horizontal="center" wrapText="1"/>
    </xf>
    <xf numFmtId="0" fontId="0" fillId="0" borderId="33" xfId="0" applyFill="1" applyBorder="1" applyAlignment="1">
      <alignment horizontal="left"/>
    </xf>
    <xf numFmtId="0" fontId="18" fillId="10" borderId="3" xfId="0" applyFont="1" applyFill="1" applyBorder="1" applyAlignment="1">
      <alignment horizontal="center"/>
    </xf>
    <xf numFmtId="0" fontId="18" fillId="10" borderId="4" xfId="0" applyFont="1" applyFill="1" applyBorder="1" applyAlignment="1">
      <alignment horizontal="center"/>
    </xf>
    <xf numFmtId="0" fontId="13" fillId="10" borderId="12" xfId="0" applyFont="1" applyFill="1" applyBorder="1" applyAlignment="1">
      <alignment horizontal="center"/>
    </xf>
    <xf numFmtId="0" fontId="13" fillId="10" borderId="18" xfId="0" applyFont="1" applyFill="1" applyBorder="1" applyAlignment="1">
      <alignment horizontal="center"/>
    </xf>
    <xf numFmtId="0" fontId="0" fillId="0" borderId="25" xfId="0" applyFill="1" applyBorder="1" applyAlignment="1">
      <alignment horizontal="left"/>
    </xf>
    <xf numFmtId="0" fontId="0" fillId="0" borderId="1" xfId="0" applyFill="1" applyBorder="1" applyAlignment="1">
      <alignment horizontal="left"/>
    </xf>
    <xf numFmtId="0" fontId="0" fillId="0" borderId="0" xfId="0" applyFill="1" applyBorder="1" applyAlignment="1">
      <alignment horizontal="center" vertical="center" wrapText="1"/>
    </xf>
    <xf numFmtId="2" fontId="0" fillId="0" borderId="0" xfId="0" applyNumberFormat="1" applyAlignment="1">
      <alignment horizontal="center" wrapText="1"/>
    </xf>
    <xf numFmtId="0" fontId="5" fillId="2" borderId="0" xfId="0" applyFont="1" applyFill="1" applyAlignment="1">
      <alignment horizontal="left" wrapText="1"/>
    </xf>
    <xf numFmtId="2" fontId="5" fillId="2" borderId="0" xfId="0" applyNumberFormat="1" applyFont="1" applyFill="1" applyAlignment="1">
      <alignment horizontal="left" vertical="center" wrapText="1"/>
    </xf>
    <xf numFmtId="0" fontId="5" fillId="2" borderId="0" xfId="0" applyFont="1" applyFill="1" applyAlignment="1">
      <alignment wrapText="1"/>
    </xf>
    <xf numFmtId="2" fontId="10" fillId="2" borderId="0" xfId="0" applyNumberFormat="1" applyFont="1" applyFill="1" applyBorder="1" applyAlignment="1">
      <alignment horizontal="left" wrapText="1"/>
    </xf>
    <xf numFmtId="2" fontId="5" fillId="2" borderId="0" xfId="0" applyNumberFormat="1" applyFont="1" applyFill="1" applyAlignment="1">
      <alignment horizontal="left" wrapText="1"/>
    </xf>
    <xf numFmtId="2" fontId="5" fillId="2" borderId="0" xfId="0" applyNumberFormat="1" applyFont="1" applyFill="1" applyAlignment="1">
      <alignment horizontal="left"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5" fillId="8" borderId="12" xfId="0" applyFont="1" applyFill="1" applyBorder="1" applyAlignment="1">
      <alignment horizontal="center" vertical="center"/>
    </xf>
    <xf numFmtId="0" fontId="5" fillId="8" borderId="18"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22" xfId="0" applyFont="1" applyFill="1" applyBorder="1" applyAlignment="1">
      <alignment horizontal="center"/>
    </xf>
    <xf numFmtId="0" fontId="5" fillId="8" borderId="22" xfId="0" applyFont="1" applyFill="1" applyBorder="1" applyAlignment="1">
      <alignment horizontal="center" vertical="center"/>
    </xf>
    <xf numFmtId="0" fontId="5" fillId="8" borderId="22" xfId="0" applyFont="1" applyFill="1" applyBorder="1" applyAlignment="1">
      <alignment horizontal="center" vertical="center" wrapText="1"/>
    </xf>
    <xf numFmtId="0" fontId="5" fillId="8" borderId="18" xfId="0" applyFont="1" applyFill="1" applyBorder="1" applyAlignment="1">
      <alignment horizontal="center"/>
    </xf>
    <xf numFmtId="0" fontId="5" fillId="8" borderId="13" xfId="0" applyFont="1" applyFill="1" applyBorder="1" applyAlignment="1">
      <alignment horizontal="center"/>
    </xf>
    <xf numFmtId="0" fontId="0" fillId="0" borderId="0" xfId="0" applyAlignment="1">
      <alignment horizontal="center" vertical="center"/>
    </xf>
    <xf numFmtId="0" fontId="0" fillId="0" borderId="23" xfId="0" applyBorder="1" applyAlignment="1">
      <alignment wrapText="1"/>
    </xf>
    <xf numFmtId="170" fontId="0" fillId="0" borderId="7" xfId="0" applyNumberFormat="1" applyBorder="1" applyAlignment="1">
      <alignment horizontal="right" vertical="center"/>
    </xf>
    <xf numFmtId="170" fontId="0" fillId="0" borderId="7" xfId="0" applyNumberFormat="1" applyBorder="1"/>
  </cellXfs>
  <cellStyles count="62">
    <cellStyle name="Comma" xfId="60" builtinId="3"/>
    <cellStyle name="Currency" xfId="61" builtinId="4"/>
    <cellStyle name="Followed Hyperlink" xfId="2" builtinId="9" hidden="1"/>
    <cellStyle name="Followed Hyperlink" xfId="4" builtinId="9" hidden="1"/>
    <cellStyle name="Followed Hyperlink" xfId="6" builtinId="9" hidden="1"/>
    <cellStyle name="Followed Hyperlink" xfId="8"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Hyperlink" xfId="1" builtinId="8" hidden="1"/>
    <cellStyle name="Hyperlink" xfId="3" builtinId="8" hidden="1"/>
    <cellStyle name="Hyperlink" xfId="5" builtinId="8" hidden="1"/>
    <cellStyle name="Hyperlink" xfId="7"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Normal" xfId="0" builtinId="0"/>
    <cellStyle name="Percent" xfId="9" builtinId="5"/>
  </cellStyles>
  <dxfs count="22">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2" formatCode="0.00"/>
      <fill>
        <patternFill patternType="solid">
          <fgColor indexed="64"/>
          <bgColor theme="6" tint="0.39997558519241921"/>
        </patternFill>
      </fill>
    </dxf>
    <dxf>
      <numFmt numFmtId="2" formatCode="0.00"/>
      <fill>
        <patternFill patternType="solid">
          <fgColor indexed="64"/>
          <bgColor theme="6" tint="0.39997558519241921"/>
        </patternFill>
      </fill>
    </dxf>
    <dxf>
      <font>
        <b val="0"/>
        <i/>
        <strike val="0"/>
        <condense val="0"/>
        <extend val="0"/>
        <outline val="0"/>
        <shadow val="0"/>
        <u val="none"/>
        <vertAlign val="baseline"/>
        <sz val="12"/>
        <color theme="1"/>
        <name val="Calibri"/>
        <scheme val="minor"/>
      </font>
      <fill>
        <patternFill patternType="solid">
          <fgColor indexed="64"/>
          <bgColor theme="0"/>
        </patternFill>
      </fill>
    </dxf>
    <dxf>
      <font>
        <b val="0"/>
        <i/>
        <strike val="0"/>
        <condense val="0"/>
        <extend val="0"/>
        <outline val="0"/>
        <shadow val="0"/>
        <u val="none"/>
        <vertAlign val="baseline"/>
        <sz val="12"/>
        <color theme="1"/>
        <name val="Calibri"/>
        <scheme val="minor"/>
      </font>
      <fill>
        <patternFill patternType="solid">
          <fgColor indexed="64"/>
          <bgColor theme="0"/>
        </patternFill>
      </fill>
    </dxf>
    <dxf>
      <border diagonalUp="0" diagonalDown="0">
        <left style="medium">
          <color indexed="64"/>
        </left>
        <right style="medium">
          <color indexed="64"/>
        </right>
        <top style="medium">
          <color indexed="64"/>
        </top>
        <bottom style="medium">
          <color indexed="64"/>
        </bottom>
      </border>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numFmt numFmtId="2" formatCode="0.00"/>
      <fill>
        <patternFill patternType="solid">
          <fgColor indexed="64"/>
          <bgColor theme="9" tint="0.59999389629810485"/>
        </patternFill>
      </fill>
    </dxf>
    <dxf>
      <fill>
        <patternFill patternType="solid">
          <fgColor indexed="64"/>
          <bgColor theme="0"/>
        </patternFill>
      </fill>
    </dxf>
    <dxf>
      <numFmt numFmtId="2" formatCode="0.00"/>
      <fill>
        <patternFill patternType="solid">
          <fgColor indexed="64"/>
          <bgColor theme="9" tint="0.59999389629810485"/>
        </patternFill>
      </fill>
    </dxf>
    <dxf>
      <font>
        <b val="0"/>
        <i/>
        <strike val="0"/>
        <condense val="0"/>
        <extend val="0"/>
        <outline val="0"/>
        <shadow val="0"/>
        <u val="none"/>
        <vertAlign val="baseline"/>
        <sz val="12"/>
        <color theme="1"/>
        <name val="Calibri"/>
        <scheme val="minor"/>
      </font>
      <fill>
        <patternFill patternType="solid">
          <fgColor indexed="64"/>
          <bgColor theme="0"/>
        </patternFill>
      </fill>
    </dxf>
    <dxf>
      <font>
        <b val="0"/>
        <i/>
        <strike val="0"/>
        <condense val="0"/>
        <extend val="0"/>
        <outline val="0"/>
        <shadow val="0"/>
        <u val="none"/>
        <vertAlign val="baseline"/>
        <sz val="12"/>
        <color theme="1"/>
        <name val="Calibri"/>
        <scheme val="minor"/>
      </font>
      <fill>
        <patternFill patternType="solid">
          <fgColor indexed="64"/>
          <bgColor theme="0"/>
        </patternFill>
      </fill>
    </dxf>
    <dxf>
      <border diagonalUp="0" diagonalDown="0">
        <left style="medium">
          <color indexed="64"/>
        </left>
        <right style="medium">
          <color indexed="64"/>
        </right>
        <top style="medium">
          <color indexed="64"/>
        </top>
        <bottom style="medium">
          <color indexed="64"/>
        </bottom>
      </border>
    </dxf>
    <dxf>
      <fill>
        <patternFill patternType="solid">
          <fgColor indexed="64"/>
          <bgColor theme="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Payback of SIP Walls vs Air Tightness</a:t>
            </a:r>
          </a:p>
        </c:rich>
      </c:tx>
      <c:layout/>
    </c:title>
    <c:plotArea>
      <c:layout/>
      <c:barChart>
        <c:barDir val="col"/>
        <c:grouping val="clustered"/>
        <c:ser>
          <c:idx val="2"/>
          <c:order val="0"/>
          <c:tx>
            <c:v>Cape 15.8% Window</c:v>
          </c:tx>
          <c:spPr>
            <a:solidFill>
              <a:schemeClr val="accent1">
                <a:lumMod val="50000"/>
              </a:schemeClr>
            </a:solidFill>
          </c:spPr>
          <c:cat>
            <c:strRef>
              <c:f>'Total losses'!$V$37:$V$39</c:f>
              <c:strCache>
                <c:ptCount val="3"/>
                <c:pt idx="0">
                  <c:v>9.0 vs. 0.68</c:v>
                </c:pt>
                <c:pt idx="1">
                  <c:v>4.0 vs. 0.68</c:v>
                </c:pt>
                <c:pt idx="2">
                  <c:v>14.6 vs. 2.3</c:v>
                </c:pt>
              </c:strCache>
            </c:strRef>
          </c:cat>
          <c:val>
            <c:numRef>
              <c:f>'Total losses'!$Y$34:$Y$36</c:f>
              <c:numCache>
                <c:formatCode>General</c:formatCode>
                <c:ptCount val="3"/>
                <c:pt idx="0">
                  <c:v>8.5</c:v>
                </c:pt>
                <c:pt idx="1">
                  <c:v>14.4</c:v>
                </c:pt>
                <c:pt idx="2">
                  <c:v>6.3</c:v>
                </c:pt>
              </c:numCache>
            </c:numRef>
          </c:val>
        </c:ser>
        <c:ser>
          <c:idx val="4"/>
          <c:order val="1"/>
          <c:tx>
            <c:v>Colonial 15.8% Window</c:v>
          </c:tx>
          <c:spPr>
            <a:solidFill>
              <a:schemeClr val="accent1">
                <a:lumMod val="75000"/>
              </a:schemeClr>
            </a:solidFill>
          </c:spPr>
          <c:cat>
            <c:strRef>
              <c:f>'Total losses'!$V$37:$V$39</c:f>
              <c:strCache>
                <c:ptCount val="3"/>
                <c:pt idx="0">
                  <c:v>9.0 vs. 0.68</c:v>
                </c:pt>
                <c:pt idx="1">
                  <c:v>4.0 vs. 0.68</c:v>
                </c:pt>
                <c:pt idx="2">
                  <c:v>14.6 vs. 2.3</c:v>
                </c:pt>
              </c:strCache>
            </c:strRef>
          </c:cat>
          <c:val>
            <c:numRef>
              <c:f>'Total losses'!$Y$43:$Y$45</c:f>
              <c:numCache>
                <c:formatCode>General</c:formatCode>
                <c:ptCount val="3"/>
                <c:pt idx="0">
                  <c:v>4.8</c:v>
                </c:pt>
                <c:pt idx="1">
                  <c:v>8.5</c:v>
                </c:pt>
                <c:pt idx="2">
                  <c:v>3.5</c:v>
                </c:pt>
              </c:numCache>
            </c:numRef>
          </c:val>
        </c:ser>
        <c:ser>
          <c:idx val="5"/>
          <c:order val="2"/>
          <c:tx>
            <c:v>Modern 15.8% window</c:v>
          </c:tx>
          <c:spPr>
            <a:solidFill>
              <a:schemeClr val="accent1">
                <a:lumMod val="60000"/>
                <a:lumOff val="40000"/>
              </a:schemeClr>
            </a:solidFill>
          </c:spPr>
          <c:cat>
            <c:strRef>
              <c:f>'Total losses'!$V$37:$V$39</c:f>
              <c:strCache>
                <c:ptCount val="3"/>
                <c:pt idx="0">
                  <c:v>9.0 vs. 0.68</c:v>
                </c:pt>
                <c:pt idx="1">
                  <c:v>4.0 vs. 0.68</c:v>
                </c:pt>
                <c:pt idx="2">
                  <c:v>14.6 vs. 2.3</c:v>
                </c:pt>
              </c:strCache>
            </c:strRef>
          </c:cat>
          <c:val>
            <c:numRef>
              <c:f>'Total losses'!$Y$52:$Y$54</c:f>
              <c:numCache>
                <c:formatCode>General</c:formatCode>
                <c:ptCount val="3"/>
                <c:pt idx="0">
                  <c:v>5.7</c:v>
                </c:pt>
                <c:pt idx="1">
                  <c:v>9.9</c:v>
                </c:pt>
                <c:pt idx="2">
                  <c:v>4.0999999999999996</c:v>
                </c:pt>
              </c:numCache>
            </c:numRef>
          </c:val>
        </c:ser>
        <c:ser>
          <c:idx val="3"/>
          <c:order val="3"/>
          <c:tx>
            <c:v>Cape 25.6% Windows</c:v>
          </c:tx>
          <c:spPr>
            <a:solidFill>
              <a:schemeClr val="accent2">
                <a:lumMod val="50000"/>
              </a:schemeClr>
            </a:solidFill>
          </c:spPr>
          <c:cat>
            <c:strRef>
              <c:f>'Total losses'!$V$37:$V$39</c:f>
              <c:strCache>
                <c:ptCount val="3"/>
                <c:pt idx="0">
                  <c:v>9.0 vs. 0.68</c:v>
                </c:pt>
                <c:pt idx="1">
                  <c:v>4.0 vs. 0.68</c:v>
                </c:pt>
                <c:pt idx="2">
                  <c:v>14.6 vs. 2.3</c:v>
                </c:pt>
              </c:strCache>
            </c:strRef>
          </c:cat>
          <c:val>
            <c:numRef>
              <c:f>'Total losses'!$Y$37:$Y$39</c:f>
              <c:numCache>
                <c:formatCode>0.0</c:formatCode>
                <c:ptCount val="3"/>
                <c:pt idx="0" formatCode="General">
                  <c:v>7.3</c:v>
                </c:pt>
                <c:pt idx="1">
                  <c:v>12.6</c:v>
                </c:pt>
                <c:pt idx="2" formatCode="General">
                  <c:v>5.4</c:v>
                </c:pt>
              </c:numCache>
            </c:numRef>
          </c:val>
        </c:ser>
        <c:ser>
          <c:idx val="0"/>
          <c:order val="4"/>
          <c:tx>
            <c:v>Colonial 25.6% Window</c:v>
          </c:tx>
          <c:spPr>
            <a:solidFill>
              <a:schemeClr val="accent2">
                <a:lumMod val="75000"/>
              </a:schemeClr>
            </a:solidFill>
          </c:spPr>
          <c:cat>
            <c:strRef>
              <c:f>'Total losses'!$V$37:$V$39</c:f>
              <c:strCache>
                <c:ptCount val="3"/>
                <c:pt idx="0">
                  <c:v>9.0 vs. 0.68</c:v>
                </c:pt>
                <c:pt idx="1">
                  <c:v>4.0 vs. 0.68</c:v>
                </c:pt>
                <c:pt idx="2">
                  <c:v>14.6 vs. 2.3</c:v>
                </c:pt>
              </c:strCache>
            </c:strRef>
          </c:cat>
          <c:val>
            <c:numRef>
              <c:f>'Total losses'!$Y$46:$Y$48</c:f>
              <c:numCache>
                <c:formatCode>0.0</c:formatCode>
                <c:ptCount val="3"/>
                <c:pt idx="0" formatCode="General">
                  <c:v>3.4</c:v>
                </c:pt>
                <c:pt idx="1">
                  <c:v>6.3</c:v>
                </c:pt>
                <c:pt idx="2" formatCode="General">
                  <c:v>2.5</c:v>
                </c:pt>
              </c:numCache>
            </c:numRef>
          </c:val>
        </c:ser>
        <c:ser>
          <c:idx val="1"/>
          <c:order val="5"/>
          <c:tx>
            <c:v>Modern 25.6% window</c:v>
          </c:tx>
          <c:spPr>
            <a:solidFill>
              <a:schemeClr val="accent2">
                <a:lumMod val="60000"/>
                <a:lumOff val="40000"/>
              </a:schemeClr>
            </a:solidFill>
          </c:spPr>
          <c:cat>
            <c:strRef>
              <c:f>'Total losses'!$V$37:$V$39</c:f>
              <c:strCache>
                <c:ptCount val="3"/>
                <c:pt idx="0">
                  <c:v>9.0 vs. 0.68</c:v>
                </c:pt>
                <c:pt idx="1">
                  <c:v>4.0 vs. 0.68</c:v>
                </c:pt>
                <c:pt idx="2">
                  <c:v>14.6 vs. 2.3</c:v>
                </c:pt>
              </c:strCache>
            </c:strRef>
          </c:cat>
          <c:val>
            <c:numRef>
              <c:f>'Total losses'!$Y$55:$Y$57</c:f>
              <c:numCache>
                <c:formatCode>0.0</c:formatCode>
                <c:ptCount val="3"/>
                <c:pt idx="0" formatCode="General">
                  <c:v>4.2</c:v>
                </c:pt>
                <c:pt idx="1">
                  <c:v>7.6</c:v>
                </c:pt>
                <c:pt idx="2" formatCode="General">
                  <c:v>3.1</c:v>
                </c:pt>
              </c:numCache>
            </c:numRef>
          </c:val>
        </c:ser>
        <c:ser>
          <c:idx val="6"/>
          <c:order val="6"/>
          <c:tx>
            <c:v>Cape 31.5% Window</c:v>
          </c:tx>
          <c:spPr>
            <a:solidFill>
              <a:schemeClr val="accent3">
                <a:lumMod val="50000"/>
              </a:schemeClr>
            </a:solidFill>
          </c:spPr>
          <c:cat>
            <c:strRef>
              <c:f>'Total losses'!$V$37:$V$39</c:f>
              <c:strCache>
                <c:ptCount val="3"/>
                <c:pt idx="0">
                  <c:v>9.0 vs. 0.68</c:v>
                </c:pt>
                <c:pt idx="1">
                  <c:v>4.0 vs. 0.68</c:v>
                </c:pt>
                <c:pt idx="2">
                  <c:v>14.6 vs. 2.3</c:v>
                </c:pt>
              </c:strCache>
            </c:strRef>
          </c:cat>
          <c:val>
            <c:numRef>
              <c:f>'Total losses'!$Y$40:$Y$42</c:f>
              <c:numCache>
                <c:formatCode>0.0</c:formatCode>
                <c:ptCount val="3"/>
                <c:pt idx="0" formatCode="General">
                  <c:v>6.5</c:v>
                </c:pt>
                <c:pt idx="1">
                  <c:v>11.4</c:v>
                </c:pt>
                <c:pt idx="2" formatCode="General">
                  <c:v>4.8</c:v>
                </c:pt>
              </c:numCache>
            </c:numRef>
          </c:val>
        </c:ser>
        <c:ser>
          <c:idx val="7"/>
          <c:order val="7"/>
          <c:tx>
            <c:v>Colonial 31.5% Windows</c:v>
          </c:tx>
          <c:spPr>
            <a:solidFill>
              <a:schemeClr val="accent3">
                <a:lumMod val="75000"/>
              </a:schemeClr>
            </a:solidFill>
          </c:spPr>
          <c:cat>
            <c:strRef>
              <c:f>'Total losses'!$V$37:$V$39</c:f>
              <c:strCache>
                <c:ptCount val="3"/>
                <c:pt idx="0">
                  <c:v>9.0 vs. 0.68</c:v>
                </c:pt>
                <c:pt idx="1">
                  <c:v>4.0 vs. 0.68</c:v>
                </c:pt>
                <c:pt idx="2">
                  <c:v>14.6 vs. 2.3</c:v>
                </c:pt>
              </c:strCache>
            </c:strRef>
          </c:cat>
          <c:val>
            <c:numRef>
              <c:f>'Total losses'!$Y$49:$Y$51</c:f>
              <c:numCache>
                <c:formatCode>0.0</c:formatCode>
                <c:ptCount val="3"/>
                <c:pt idx="0" formatCode="General">
                  <c:v>2.6</c:v>
                </c:pt>
                <c:pt idx="1">
                  <c:v>4.9000000000000004</c:v>
                </c:pt>
                <c:pt idx="2" formatCode="General">
                  <c:v>1.9</c:v>
                </c:pt>
              </c:numCache>
            </c:numRef>
          </c:val>
        </c:ser>
        <c:ser>
          <c:idx val="8"/>
          <c:order val="8"/>
          <c:tx>
            <c:v>Modern 31.5% Window</c:v>
          </c:tx>
          <c:cat>
            <c:strRef>
              <c:f>'Total losses'!$V$37:$V$39</c:f>
              <c:strCache>
                <c:ptCount val="3"/>
                <c:pt idx="0">
                  <c:v>9.0 vs. 0.68</c:v>
                </c:pt>
                <c:pt idx="1">
                  <c:v>4.0 vs. 0.68</c:v>
                </c:pt>
                <c:pt idx="2">
                  <c:v>14.6 vs. 2.3</c:v>
                </c:pt>
              </c:strCache>
            </c:strRef>
          </c:cat>
          <c:val>
            <c:numRef>
              <c:f>'Total losses'!$Y$58:$Y$60</c:f>
              <c:numCache>
                <c:formatCode>0.0</c:formatCode>
                <c:ptCount val="3"/>
                <c:pt idx="0" formatCode="General">
                  <c:v>3.3</c:v>
                </c:pt>
                <c:pt idx="1">
                  <c:v>6</c:v>
                </c:pt>
                <c:pt idx="2" formatCode="General">
                  <c:v>2.4</c:v>
                </c:pt>
              </c:numCache>
            </c:numRef>
          </c:val>
        </c:ser>
        <c:axId val="67100032"/>
        <c:axId val="64759680"/>
      </c:barChart>
      <c:catAx>
        <c:axId val="67100032"/>
        <c:scaling>
          <c:orientation val="minMax"/>
        </c:scaling>
        <c:axPos val="b"/>
        <c:title>
          <c:tx>
            <c:rich>
              <a:bodyPr/>
              <a:lstStyle/>
              <a:p>
                <a:pPr>
                  <a:defRPr/>
                </a:pPr>
                <a:r>
                  <a:rPr lang="en-US"/>
                  <a:t>ACH50 LCF vs. SIP</a:t>
                </a:r>
              </a:p>
            </c:rich>
          </c:tx>
          <c:layout/>
        </c:title>
        <c:tickLblPos val="nextTo"/>
        <c:crossAx val="64759680"/>
        <c:crosses val="autoZero"/>
        <c:auto val="1"/>
        <c:lblAlgn val="ctr"/>
        <c:lblOffset val="100"/>
      </c:catAx>
      <c:valAx>
        <c:axId val="64759680"/>
        <c:scaling>
          <c:orientation val="minMax"/>
        </c:scaling>
        <c:axPos val="l"/>
        <c:majorGridlines/>
        <c:title>
          <c:tx>
            <c:rich>
              <a:bodyPr rot="-5400000" vert="horz"/>
              <a:lstStyle/>
              <a:p>
                <a:pPr>
                  <a:defRPr/>
                </a:pPr>
                <a:r>
                  <a:rPr lang="en-US"/>
                  <a:t>Payback in Years</a:t>
                </a:r>
              </a:p>
            </c:rich>
          </c:tx>
          <c:layout/>
        </c:title>
        <c:numFmt formatCode="General" sourceLinked="1"/>
        <c:tickLblPos val="nextTo"/>
        <c:crossAx val="67100032"/>
        <c:crosses val="autoZero"/>
        <c:crossBetween val="between"/>
      </c:valAx>
    </c:plotArea>
    <c:legend>
      <c:legendPos val="r"/>
      <c:layout/>
    </c:legend>
    <c:plotVisOnly val="1"/>
  </c:chart>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Payback of SIP Walls vs Air Tightness</a:t>
            </a:r>
          </a:p>
        </c:rich>
      </c:tx>
      <c:layout/>
    </c:title>
    <c:plotArea>
      <c:layout/>
      <c:barChart>
        <c:barDir val="col"/>
        <c:grouping val="clustered"/>
        <c:ser>
          <c:idx val="2"/>
          <c:order val="0"/>
          <c:tx>
            <c:v>Cape 15.8% Window</c:v>
          </c:tx>
          <c:spPr>
            <a:solidFill>
              <a:schemeClr val="accent1">
                <a:lumMod val="50000"/>
              </a:schemeClr>
            </a:solidFill>
          </c:spPr>
          <c:cat>
            <c:strRef>
              <c:f>'Total losses'!$V$37:$V$39</c:f>
              <c:strCache>
                <c:ptCount val="3"/>
                <c:pt idx="0">
                  <c:v>9.0 vs. 0.68</c:v>
                </c:pt>
                <c:pt idx="1">
                  <c:v>4.0 vs. 0.68</c:v>
                </c:pt>
                <c:pt idx="2">
                  <c:v>14.6 vs. 2.3</c:v>
                </c:pt>
              </c:strCache>
            </c:strRef>
          </c:cat>
          <c:val>
            <c:numRef>
              <c:f>'Total losses'!$Y$34:$Y$36</c:f>
              <c:numCache>
                <c:formatCode>General</c:formatCode>
                <c:ptCount val="3"/>
                <c:pt idx="0">
                  <c:v>8.5</c:v>
                </c:pt>
                <c:pt idx="1">
                  <c:v>14.4</c:v>
                </c:pt>
                <c:pt idx="2">
                  <c:v>6.3</c:v>
                </c:pt>
              </c:numCache>
            </c:numRef>
          </c:val>
        </c:ser>
        <c:ser>
          <c:idx val="4"/>
          <c:order val="1"/>
          <c:tx>
            <c:v>Colonial 15.8% Window</c:v>
          </c:tx>
          <c:spPr>
            <a:solidFill>
              <a:schemeClr val="accent1">
                <a:lumMod val="75000"/>
              </a:schemeClr>
            </a:solidFill>
          </c:spPr>
          <c:cat>
            <c:strRef>
              <c:f>'Total losses'!$V$37:$V$39</c:f>
              <c:strCache>
                <c:ptCount val="3"/>
                <c:pt idx="0">
                  <c:v>9.0 vs. 0.68</c:v>
                </c:pt>
                <c:pt idx="1">
                  <c:v>4.0 vs. 0.68</c:v>
                </c:pt>
                <c:pt idx="2">
                  <c:v>14.6 vs. 2.3</c:v>
                </c:pt>
              </c:strCache>
            </c:strRef>
          </c:cat>
          <c:val>
            <c:numRef>
              <c:f>'Total losses'!$Y$43:$Y$45</c:f>
              <c:numCache>
                <c:formatCode>General</c:formatCode>
                <c:ptCount val="3"/>
                <c:pt idx="0">
                  <c:v>4.8</c:v>
                </c:pt>
                <c:pt idx="1">
                  <c:v>8.5</c:v>
                </c:pt>
                <c:pt idx="2">
                  <c:v>3.5</c:v>
                </c:pt>
              </c:numCache>
            </c:numRef>
          </c:val>
        </c:ser>
        <c:ser>
          <c:idx val="5"/>
          <c:order val="2"/>
          <c:tx>
            <c:v>Modern 15.8% window</c:v>
          </c:tx>
          <c:spPr>
            <a:solidFill>
              <a:schemeClr val="accent1">
                <a:lumMod val="60000"/>
                <a:lumOff val="40000"/>
              </a:schemeClr>
            </a:solidFill>
          </c:spPr>
          <c:cat>
            <c:strRef>
              <c:f>'Total losses'!$V$37:$V$39</c:f>
              <c:strCache>
                <c:ptCount val="3"/>
                <c:pt idx="0">
                  <c:v>9.0 vs. 0.68</c:v>
                </c:pt>
                <c:pt idx="1">
                  <c:v>4.0 vs. 0.68</c:v>
                </c:pt>
                <c:pt idx="2">
                  <c:v>14.6 vs. 2.3</c:v>
                </c:pt>
              </c:strCache>
            </c:strRef>
          </c:cat>
          <c:val>
            <c:numRef>
              <c:f>'Total losses'!$Y$52:$Y$54</c:f>
              <c:numCache>
                <c:formatCode>General</c:formatCode>
                <c:ptCount val="3"/>
                <c:pt idx="0">
                  <c:v>5.7</c:v>
                </c:pt>
                <c:pt idx="1">
                  <c:v>9.9</c:v>
                </c:pt>
                <c:pt idx="2">
                  <c:v>4.0999999999999996</c:v>
                </c:pt>
              </c:numCache>
            </c:numRef>
          </c:val>
        </c:ser>
        <c:axId val="64777600"/>
        <c:axId val="64800256"/>
      </c:barChart>
      <c:catAx>
        <c:axId val="64777600"/>
        <c:scaling>
          <c:orientation val="minMax"/>
        </c:scaling>
        <c:axPos val="b"/>
        <c:title>
          <c:tx>
            <c:rich>
              <a:bodyPr/>
              <a:lstStyle/>
              <a:p>
                <a:pPr>
                  <a:defRPr/>
                </a:pPr>
                <a:r>
                  <a:rPr lang="en-US"/>
                  <a:t>ACH50 LCF vs. SIP</a:t>
                </a:r>
              </a:p>
            </c:rich>
          </c:tx>
          <c:layout/>
        </c:title>
        <c:tickLblPos val="nextTo"/>
        <c:crossAx val="64800256"/>
        <c:crosses val="autoZero"/>
        <c:auto val="1"/>
        <c:lblAlgn val="ctr"/>
        <c:lblOffset val="100"/>
      </c:catAx>
      <c:valAx>
        <c:axId val="64800256"/>
        <c:scaling>
          <c:orientation val="minMax"/>
        </c:scaling>
        <c:axPos val="l"/>
        <c:majorGridlines/>
        <c:title>
          <c:tx>
            <c:rich>
              <a:bodyPr rot="-5400000" vert="horz"/>
              <a:lstStyle/>
              <a:p>
                <a:pPr>
                  <a:defRPr/>
                </a:pPr>
                <a:r>
                  <a:rPr lang="en-US"/>
                  <a:t>Payback in Years</a:t>
                </a:r>
              </a:p>
            </c:rich>
          </c:tx>
          <c:layout/>
        </c:title>
        <c:numFmt formatCode="General" sourceLinked="1"/>
        <c:tickLblPos val="nextTo"/>
        <c:crossAx val="64777600"/>
        <c:crosses val="autoZero"/>
        <c:crossBetween val="between"/>
      </c:valAx>
    </c:plotArea>
    <c:legend>
      <c:legendPos val="r"/>
      <c:layout/>
    </c:legend>
    <c:plotVisOnly val="1"/>
  </c:chart>
  <c:printSettings>
    <c:headerFooter/>
    <c:pageMargins b="0.75000000000000056" l="0.70000000000000051" r="0.70000000000000051" t="0.75000000000000056" header="0.30000000000000027" footer="0.30000000000000027"/>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Payback of SIP Walls vs Air Tightness</a:t>
            </a:r>
          </a:p>
        </c:rich>
      </c:tx>
      <c:layout/>
    </c:title>
    <c:plotArea>
      <c:layout/>
      <c:barChart>
        <c:barDir val="col"/>
        <c:grouping val="clustered"/>
        <c:ser>
          <c:idx val="3"/>
          <c:order val="0"/>
          <c:tx>
            <c:v>Cape 25.6% Windows</c:v>
          </c:tx>
          <c:spPr>
            <a:solidFill>
              <a:schemeClr val="accent2">
                <a:lumMod val="50000"/>
              </a:schemeClr>
            </a:solidFill>
          </c:spPr>
          <c:cat>
            <c:strRef>
              <c:f>'Total losses'!$V$37:$V$39</c:f>
              <c:strCache>
                <c:ptCount val="3"/>
                <c:pt idx="0">
                  <c:v>9.0 vs. 0.68</c:v>
                </c:pt>
                <c:pt idx="1">
                  <c:v>4.0 vs. 0.68</c:v>
                </c:pt>
                <c:pt idx="2">
                  <c:v>14.6 vs. 2.3</c:v>
                </c:pt>
              </c:strCache>
            </c:strRef>
          </c:cat>
          <c:val>
            <c:numRef>
              <c:f>'Total losses'!$Y$37:$Y$39</c:f>
              <c:numCache>
                <c:formatCode>0.0</c:formatCode>
                <c:ptCount val="3"/>
                <c:pt idx="0" formatCode="General">
                  <c:v>7.3</c:v>
                </c:pt>
                <c:pt idx="1">
                  <c:v>12.6</c:v>
                </c:pt>
                <c:pt idx="2" formatCode="General">
                  <c:v>5.4</c:v>
                </c:pt>
              </c:numCache>
            </c:numRef>
          </c:val>
        </c:ser>
        <c:ser>
          <c:idx val="0"/>
          <c:order val="1"/>
          <c:tx>
            <c:v>Colonial 25.6% Window</c:v>
          </c:tx>
          <c:spPr>
            <a:solidFill>
              <a:schemeClr val="accent2">
                <a:lumMod val="75000"/>
              </a:schemeClr>
            </a:solidFill>
          </c:spPr>
          <c:cat>
            <c:strRef>
              <c:f>'Total losses'!$V$37:$V$39</c:f>
              <c:strCache>
                <c:ptCount val="3"/>
                <c:pt idx="0">
                  <c:v>9.0 vs. 0.68</c:v>
                </c:pt>
                <c:pt idx="1">
                  <c:v>4.0 vs. 0.68</c:v>
                </c:pt>
                <c:pt idx="2">
                  <c:v>14.6 vs. 2.3</c:v>
                </c:pt>
              </c:strCache>
            </c:strRef>
          </c:cat>
          <c:val>
            <c:numRef>
              <c:f>'Total losses'!$Y$46:$Y$48</c:f>
              <c:numCache>
                <c:formatCode>0.0</c:formatCode>
                <c:ptCount val="3"/>
                <c:pt idx="0" formatCode="General">
                  <c:v>3.4</c:v>
                </c:pt>
                <c:pt idx="1">
                  <c:v>6.3</c:v>
                </c:pt>
                <c:pt idx="2" formatCode="General">
                  <c:v>2.5</c:v>
                </c:pt>
              </c:numCache>
            </c:numRef>
          </c:val>
        </c:ser>
        <c:ser>
          <c:idx val="1"/>
          <c:order val="2"/>
          <c:tx>
            <c:v>Modern 25.6% window</c:v>
          </c:tx>
          <c:spPr>
            <a:solidFill>
              <a:schemeClr val="accent2">
                <a:lumMod val="60000"/>
                <a:lumOff val="40000"/>
              </a:schemeClr>
            </a:solidFill>
          </c:spPr>
          <c:cat>
            <c:strRef>
              <c:f>'Total losses'!$V$37:$V$39</c:f>
              <c:strCache>
                <c:ptCount val="3"/>
                <c:pt idx="0">
                  <c:v>9.0 vs. 0.68</c:v>
                </c:pt>
                <c:pt idx="1">
                  <c:v>4.0 vs. 0.68</c:v>
                </c:pt>
                <c:pt idx="2">
                  <c:v>14.6 vs. 2.3</c:v>
                </c:pt>
              </c:strCache>
            </c:strRef>
          </c:cat>
          <c:val>
            <c:numRef>
              <c:f>'Total losses'!$Y$55:$Y$57</c:f>
              <c:numCache>
                <c:formatCode>0.0</c:formatCode>
                <c:ptCount val="3"/>
                <c:pt idx="0" formatCode="General">
                  <c:v>4.2</c:v>
                </c:pt>
                <c:pt idx="1">
                  <c:v>7.6</c:v>
                </c:pt>
                <c:pt idx="2" formatCode="General">
                  <c:v>3.1</c:v>
                </c:pt>
              </c:numCache>
            </c:numRef>
          </c:val>
        </c:ser>
        <c:axId val="67185664"/>
        <c:axId val="67196032"/>
      </c:barChart>
      <c:catAx>
        <c:axId val="67185664"/>
        <c:scaling>
          <c:orientation val="minMax"/>
        </c:scaling>
        <c:axPos val="b"/>
        <c:title>
          <c:tx>
            <c:rich>
              <a:bodyPr/>
              <a:lstStyle/>
              <a:p>
                <a:pPr>
                  <a:defRPr/>
                </a:pPr>
                <a:r>
                  <a:rPr lang="en-US"/>
                  <a:t>ACH50 LCF vs. SIP</a:t>
                </a:r>
              </a:p>
            </c:rich>
          </c:tx>
          <c:layout/>
        </c:title>
        <c:tickLblPos val="nextTo"/>
        <c:crossAx val="67196032"/>
        <c:crosses val="autoZero"/>
        <c:auto val="1"/>
        <c:lblAlgn val="ctr"/>
        <c:lblOffset val="100"/>
      </c:catAx>
      <c:valAx>
        <c:axId val="67196032"/>
        <c:scaling>
          <c:orientation val="minMax"/>
        </c:scaling>
        <c:axPos val="l"/>
        <c:majorGridlines/>
        <c:title>
          <c:tx>
            <c:rich>
              <a:bodyPr rot="-5400000" vert="horz"/>
              <a:lstStyle/>
              <a:p>
                <a:pPr>
                  <a:defRPr/>
                </a:pPr>
                <a:r>
                  <a:rPr lang="en-US"/>
                  <a:t>Payback in Years</a:t>
                </a:r>
              </a:p>
            </c:rich>
          </c:tx>
          <c:layout/>
        </c:title>
        <c:numFmt formatCode="General" sourceLinked="1"/>
        <c:tickLblPos val="nextTo"/>
        <c:crossAx val="67185664"/>
        <c:crosses val="autoZero"/>
        <c:crossBetween val="between"/>
      </c:valAx>
    </c:plotArea>
    <c:legend>
      <c:legendPos val="r"/>
      <c:layout/>
    </c:legend>
    <c:plotVisOnly val="1"/>
  </c:chart>
  <c:printSettings>
    <c:headerFooter/>
    <c:pageMargins b="0.75000000000000056" l="0.70000000000000051" r="0.70000000000000051" t="0.75000000000000056" header="0.30000000000000027" footer="0.30000000000000027"/>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Payback of SIP Walls vs Air Tightness</a:t>
            </a:r>
          </a:p>
        </c:rich>
      </c:tx>
      <c:layout>
        <c:manualLayout>
          <c:xMode val="edge"/>
          <c:yMode val="edge"/>
          <c:x val="0.19589601551062399"/>
          <c:y val="3.1280547409579668E-2"/>
        </c:manualLayout>
      </c:layout>
    </c:title>
    <c:plotArea>
      <c:layout/>
      <c:barChart>
        <c:barDir val="col"/>
        <c:grouping val="clustered"/>
        <c:ser>
          <c:idx val="6"/>
          <c:order val="0"/>
          <c:tx>
            <c:v>Cape 31.5% Window</c:v>
          </c:tx>
          <c:spPr>
            <a:solidFill>
              <a:schemeClr val="accent3">
                <a:lumMod val="50000"/>
              </a:schemeClr>
            </a:solidFill>
          </c:spPr>
          <c:cat>
            <c:strRef>
              <c:f>'Total losses'!$V$37:$V$39</c:f>
              <c:strCache>
                <c:ptCount val="3"/>
                <c:pt idx="0">
                  <c:v>9.0 vs. 0.68</c:v>
                </c:pt>
                <c:pt idx="1">
                  <c:v>4.0 vs. 0.68</c:v>
                </c:pt>
                <c:pt idx="2">
                  <c:v>14.6 vs. 2.3</c:v>
                </c:pt>
              </c:strCache>
            </c:strRef>
          </c:cat>
          <c:val>
            <c:numRef>
              <c:f>'Total losses'!$Y$40:$Y$42</c:f>
              <c:numCache>
                <c:formatCode>0.0</c:formatCode>
                <c:ptCount val="3"/>
                <c:pt idx="0" formatCode="General">
                  <c:v>6.5</c:v>
                </c:pt>
                <c:pt idx="1">
                  <c:v>11.4</c:v>
                </c:pt>
                <c:pt idx="2" formatCode="General">
                  <c:v>4.8</c:v>
                </c:pt>
              </c:numCache>
            </c:numRef>
          </c:val>
        </c:ser>
        <c:ser>
          <c:idx val="7"/>
          <c:order val="1"/>
          <c:tx>
            <c:v>Colonial 31.5% Windows</c:v>
          </c:tx>
          <c:spPr>
            <a:solidFill>
              <a:schemeClr val="accent3">
                <a:lumMod val="75000"/>
              </a:schemeClr>
            </a:solidFill>
          </c:spPr>
          <c:cat>
            <c:strRef>
              <c:f>'Total losses'!$V$37:$V$39</c:f>
              <c:strCache>
                <c:ptCount val="3"/>
                <c:pt idx="0">
                  <c:v>9.0 vs. 0.68</c:v>
                </c:pt>
                <c:pt idx="1">
                  <c:v>4.0 vs. 0.68</c:v>
                </c:pt>
                <c:pt idx="2">
                  <c:v>14.6 vs. 2.3</c:v>
                </c:pt>
              </c:strCache>
            </c:strRef>
          </c:cat>
          <c:val>
            <c:numRef>
              <c:f>'Total losses'!$Y$49:$Y$51</c:f>
              <c:numCache>
                <c:formatCode>0.0</c:formatCode>
                <c:ptCount val="3"/>
                <c:pt idx="0" formatCode="General">
                  <c:v>2.6</c:v>
                </c:pt>
                <c:pt idx="1">
                  <c:v>4.9000000000000004</c:v>
                </c:pt>
                <c:pt idx="2" formatCode="General">
                  <c:v>1.9</c:v>
                </c:pt>
              </c:numCache>
            </c:numRef>
          </c:val>
        </c:ser>
        <c:ser>
          <c:idx val="8"/>
          <c:order val="2"/>
          <c:tx>
            <c:v>Modern 31.5% Window</c:v>
          </c:tx>
          <c:cat>
            <c:strRef>
              <c:f>'Total losses'!$V$37:$V$39</c:f>
              <c:strCache>
                <c:ptCount val="3"/>
                <c:pt idx="0">
                  <c:v>9.0 vs. 0.68</c:v>
                </c:pt>
                <c:pt idx="1">
                  <c:v>4.0 vs. 0.68</c:v>
                </c:pt>
                <c:pt idx="2">
                  <c:v>14.6 vs. 2.3</c:v>
                </c:pt>
              </c:strCache>
            </c:strRef>
          </c:cat>
          <c:val>
            <c:numRef>
              <c:f>'Total losses'!$Y$58:$Y$60</c:f>
              <c:numCache>
                <c:formatCode>0.0</c:formatCode>
                <c:ptCount val="3"/>
                <c:pt idx="0" formatCode="General">
                  <c:v>3.3</c:v>
                </c:pt>
                <c:pt idx="1">
                  <c:v>6</c:v>
                </c:pt>
                <c:pt idx="2" formatCode="General">
                  <c:v>2.4</c:v>
                </c:pt>
              </c:numCache>
            </c:numRef>
          </c:val>
        </c:ser>
        <c:axId val="67206144"/>
        <c:axId val="67110016"/>
      </c:barChart>
      <c:catAx>
        <c:axId val="67206144"/>
        <c:scaling>
          <c:orientation val="minMax"/>
        </c:scaling>
        <c:axPos val="b"/>
        <c:title>
          <c:tx>
            <c:rich>
              <a:bodyPr/>
              <a:lstStyle/>
              <a:p>
                <a:pPr>
                  <a:defRPr/>
                </a:pPr>
                <a:r>
                  <a:rPr lang="en-US"/>
                  <a:t>ACH50 LCF vs. SIP</a:t>
                </a:r>
              </a:p>
            </c:rich>
          </c:tx>
          <c:layout/>
        </c:title>
        <c:tickLblPos val="nextTo"/>
        <c:crossAx val="67110016"/>
        <c:crosses val="autoZero"/>
        <c:auto val="1"/>
        <c:lblAlgn val="ctr"/>
        <c:lblOffset val="100"/>
      </c:catAx>
      <c:valAx>
        <c:axId val="67110016"/>
        <c:scaling>
          <c:orientation val="minMax"/>
        </c:scaling>
        <c:axPos val="l"/>
        <c:majorGridlines/>
        <c:title>
          <c:tx>
            <c:rich>
              <a:bodyPr rot="-5400000" vert="horz"/>
              <a:lstStyle/>
              <a:p>
                <a:pPr>
                  <a:defRPr/>
                </a:pPr>
                <a:r>
                  <a:rPr lang="en-US"/>
                  <a:t>Payback in Years</a:t>
                </a:r>
              </a:p>
            </c:rich>
          </c:tx>
          <c:layout/>
        </c:title>
        <c:numFmt formatCode="General" sourceLinked="1"/>
        <c:tickLblPos val="nextTo"/>
        <c:crossAx val="67206144"/>
        <c:crosses val="autoZero"/>
        <c:crossBetween val="between"/>
      </c:valAx>
    </c:plotArea>
    <c:legend>
      <c:legendPos val="r"/>
      <c:layout/>
    </c:legend>
    <c:plotVisOnly val="1"/>
  </c:chart>
  <c:printSettings>
    <c:headerFooter/>
    <c:pageMargins b="0.75000000000000056" l="0.70000000000000051" r="0.70000000000000051" t="0.75000000000000056" header="0.30000000000000027" footer="0.30000000000000027"/>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Framing Factor Vs.</a:t>
            </a:r>
            <a:r>
              <a:rPr lang="en-US" baseline="0"/>
              <a:t> Percentage of Window</a:t>
            </a:r>
            <a:endParaRPr lang="en-US"/>
          </a:p>
        </c:rich>
      </c:tx>
      <c:layout/>
    </c:title>
    <c:plotArea>
      <c:layout/>
      <c:scatterChart>
        <c:scatterStyle val="lineMarker"/>
        <c:ser>
          <c:idx val="0"/>
          <c:order val="0"/>
          <c:tx>
            <c:strRef>
              <c:f>'Framing factors'!$E$3</c:f>
              <c:strCache>
                <c:ptCount val="1"/>
                <c:pt idx="0">
                  <c:v>sqft</c:v>
                </c:pt>
              </c:strCache>
            </c:strRef>
          </c:tx>
          <c:xVal>
            <c:numRef>
              <c:f>'Framing factors'!$D$4:$D$24</c:f>
              <c:numCache>
                <c:formatCode>General</c:formatCode>
                <c:ptCount val="21"/>
                <c:pt idx="0">
                  <c:v>0.27</c:v>
                </c:pt>
                <c:pt idx="1">
                  <c:v>0.16</c:v>
                </c:pt>
                <c:pt idx="2">
                  <c:v>0.17</c:v>
                </c:pt>
                <c:pt idx="3">
                  <c:v>0.13</c:v>
                </c:pt>
                <c:pt idx="4">
                  <c:v>7.0000000000000007E-2</c:v>
                </c:pt>
                <c:pt idx="5">
                  <c:v>0.25</c:v>
                </c:pt>
                <c:pt idx="6">
                  <c:v>0.12</c:v>
                </c:pt>
                <c:pt idx="7">
                  <c:v>0.46</c:v>
                </c:pt>
                <c:pt idx="8">
                  <c:v>0.37</c:v>
                </c:pt>
                <c:pt idx="9">
                  <c:v>0.26</c:v>
                </c:pt>
                <c:pt idx="10">
                  <c:v>0.08</c:v>
                </c:pt>
                <c:pt idx="11">
                  <c:v>0.39</c:v>
                </c:pt>
                <c:pt idx="12">
                  <c:v>0.12</c:v>
                </c:pt>
                <c:pt idx="13">
                  <c:v>0.28999999999999998</c:v>
                </c:pt>
                <c:pt idx="14">
                  <c:v>0.41</c:v>
                </c:pt>
                <c:pt idx="15">
                  <c:v>0.21</c:v>
                </c:pt>
                <c:pt idx="16">
                  <c:v>0.23</c:v>
                </c:pt>
                <c:pt idx="17">
                  <c:v>0.56000000000000005</c:v>
                </c:pt>
                <c:pt idx="18">
                  <c:v>0.13</c:v>
                </c:pt>
                <c:pt idx="19">
                  <c:v>0</c:v>
                </c:pt>
                <c:pt idx="20">
                  <c:v>0.05</c:v>
                </c:pt>
              </c:numCache>
            </c:numRef>
          </c:xVal>
          <c:yVal>
            <c:numRef>
              <c:f>'Framing factors'!$E$4:$E$24</c:f>
            </c:numRef>
          </c:yVal>
        </c:ser>
        <c:ser>
          <c:idx val="1"/>
          <c:order val="1"/>
          <c:tx>
            <c:strRef>
              <c:f>'Framing factors'!$F$3</c:f>
              <c:strCache>
                <c:ptCount val="1"/>
                <c:pt idx="0">
                  <c:v>SIP % Framing</c:v>
                </c:pt>
              </c:strCache>
            </c:strRef>
          </c:tx>
          <c:spPr>
            <a:ln w="28575">
              <a:noFill/>
            </a:ln>
          </c:spPr>
          <c:marker>
            <c:symbol val="square"/>
            <c:size val="6"/>
          </c:marker>
          <c:trendline>
            <c:spPr>
              <a:ln>
                <a:solidFill>
                  <a:schemeClr val="accent2">
                    <a:lumMod val="75000"/>
                  </a:schemeClr>
                </a:solidFill>
              </a:ln>
            </c:spPr>
            <c:trendlineType val="linear"/>
            <c:dispEq val="1"/>
            <c:trendlineLbl>
              <c:layout>
                <c:manualLayout>
                  <c:x val="0.31784153771526208"/>
                  <c:y val="0.17321509836136903"/>
                </c:manualLayout>
              </c:layout>
              <c:numFmt formatCode="General" sourceLinked="0"/>
            </c:trendlineLbl>
          </c:trendline>
          <c:xVal>
            <c:numRef>
              <c:f>'Framing factors'!$D$4:$D$24</c:f>
              <c:numCache>
                <c:formatCode>General</c:formatCode>
                <c:ptCount val="21"/>
                <c:pt idx="0">
                  <c:v>0.27</c:v>
                </c:pt>
                <c:pt idx="1">
                  <c:v>0.16</c:v>
                </c:pt>
                <c:pt idx="2">
                  <c:v>0.17</c:v>
                </c:pt>
                <c:pt idx="3">
                  <c:v>0.13</c:v>
                </c:pt>
                <c:pt idx="4">
                  <c:v>7.0000000000000007E-2</c:v>
                </c:pt>
                <c:pt idx="5">
                  <c:v>0.25</c:v>
                </c:pt>
                <c:pt idx="6">
                  <c:v>0.12</c:v>
                </c:pt>
                <c:pt idx="7">
                  <c:v>0.46</c:v>
                </c:pt>
                <c:pt idx="8">
                  <c:v>0.37</c:v>
                </c:pt>
                <c:pt idx="9">
                  <c:v>0.26</c:v>
                </c:pt>
                <c:pt idx="10">
                  <c:v>0.08</c:v>
                </c:pt>
                <c:pt idx="11">
                  <c:v>0.39</c:v>
                </c:pt>
                <c:pt idx="12">
                  <c:v>0.12</c:v>
                </c:pt>
                <c:pt idx="13">
                  <c:v>0.28999999999999998</c:v>
                </c:pt>
                <c:pt idx="14">
                  <c:v>0.41</c:v>
                </c:pt>
                <c:pt idx="15">
                  <c:v>0.21</c:v>
                </c:pt>
                <c:pt idx="16">
                  <c:v>0.23</c:v>
                </c:pt>
                <c:pt idx="17">
                  <c:v>0.56000000000000005</c:v>
                </c:pt>
                <c:pt idx="18">
                  <c:v>0.13</c:v>
                </c:pt>
                <c:pt idx="19">
                  <c:v>0</c:v>
                </c:pt>
                <c:pt idx="20">
                  <c:v>0.05</c:v>
                </c:pt>
              </c:numCache>
            </c:numRef>
          </c:xVal>
          <c:yVal>
            <c:numRef>
              <c:f>'Framing factors'!$F$4:$F$24</c:f>
              <c:numCache>
                <c:formatCode>0.00</c:formatCode>
                <c:ptCount val="21"/>
                <c:pt idx="0" formatCode="General">
                  <c:v>0.13</c:v>
                </c:pt>
                <c:pt idx="1">
                  <c:v>0.1</c:v>
                </c:pt>
                <c:pt idx="2">
                  <c:v>0.1</c:v>
                </c:pt>
                <c:pt idx="3" formatCode="General">
                  <c:v>0.08</c:v>
                </c:pt>
                <c:pt idx="4" formatCode="General">
                  <c:v>0.05</c:v>
                </c:pt>
                <c:pt idx="5" formatCode="General">
                  <c:v>7.0000000000000007E-2</c:v>
                </c:pt>
                <c:pt idx="6" formatCode="General">
                  <c:v>0.08</c:v>
                </c:pt>
                <c:pt idx="7" formatCode="General">
                  <c:v>0.15</c:v>
                </c:pt>
                <c:pt idx="8" formatCode="General">
                  <c:v>0.13</c:v>
                </c:pt>
                <c:pt idx="9" formatCode="General">
                  <c:v>0.12</c:v>
                </c:pt>
                <c:pt idx="10" formatCode="General">
                  <c:v>0.05</c:v>
                </c:pt>
                <c:pt idx="11" formatCode="General">
                  <c:v>0.14000000000000001</c:v>
                </c:pt>
                <c:pt idx="12" formatCode="General">
                  <c:v>0.09</c:v>
                </c:pt>
                <c:pt idx="13" formatCode="General">
                  <c:v>0.15</c:v>
                </c:pt>
                <c:pt idx="14" formatCode="General">
                  <c:v>0.24</c:v>
                </c:pt>
                <c:pt idx="15" formatCode="General">
                  <c:v>0.21</c:v>
                </c:pt>
                <c:pt idx="16" formatCode="General">
                  <c:v>0.22</c:v>
                </c:pt>
                <c:pt idx="17" formatCode="General">
                  <c:v>0.48</c:v>
                </c:pt>
                <c:pt idx="18" formatCode="General">
                  <c:v>0.09</c:v>
                </c:pt>
                <c:pt idx="19" formatCode="General">
                  <c:v>0.01</c:v>
                </c:pt>
                <c:pt idx="20" formatCode="General">
                  <c:v>0.05</c:v>
                </c:pt>
              </c:numCache>
            </c:numRef>
          </c:yVal>
        </c:ser>
        <c:ser>
          <c:idx val="2"/>
          <c:order val="2"/>
          <c:tx>
            <c:strRef>
              <c:f>'Framing factors'!$H$3</c:f>
              <c:strCache>
                <c:ptCount val="1"/>
                <c:pt idx="0">
                  <c:v>LFC %Framing</c:v>
                </c:pt>
              </c:strCache>
            </c:strRef>
          </c:tx>
          <c:spPr>
            <a:ln w="28575">
              <a:noFill/>
            </a:ln>
          </c:spPr>
          <c:trendline>
            <c:spPr>
              <a:ln>
                <a:solidFill>
                  <a:schemeClr val="accent3">
                    <a:lumMod val="75000"/>
                  </a:schemeClr>
                </a:solidFill>
              </a:ln>
            </c:spPr>
            <c:trendlineType val="linear"/>
            <c:dispEq val="1"/>
            <c:trendlineLbl>
              <c:layout>
                <c:manualLayout>
                  <c:x val="0.3158720642439149"/>
                  <c:y val="0.45526410671681494"/>
                </c:manualLayout>
              </c:layout>
              <c:numFmt formatCode="General" sourceLinked="0"/>
            </c:trendlineLbl>
          </c:trendline>
          <c:xVal>
            <c:numRef>
              <c:f>'Framing factors'!$D$4:$D$24</c:f>
              <c:numCache>
                <c:formatCode>General</c:formatCode>
                <c:ptCount val="21"/>
                <c:pt idx="0">
                  <c:v>0.27</c:v>
                </c:pt>
                <c:pt idx="1">
                  <c:v>0.16</c:v>
                </c:pt>
                <c:pt idx="2">
                  <c:v>0.17</c:v>
                </c:pt>
                <c:pt idx="3">
                  <c:v>0.13</c:v>
                </c:pt>
                <c:pt idx="4">
                  <c:v>7.0000000000000007E-2</c:v>
                </c:pt>
                <c:pt idx="5">
                  <c:v>0.25</c:v>
                </c:pt>
                <c:pt idx="6">
                  <c:v>0.12</c:v>
                </c:pt>
                <c:pt idx="7">
                  <c:v>0.46</c:v>
                </c:pt>
                <c:pt idx="8">
                  <c:v>0.37</c:v>
                </c:pt>
                <c:pt idx="9">
                  <c:v>0.26</c:v>
                </c:pt>
                <c:pt idx="10">
                  <c:v>0.08</c:v>
                </c:pt>
                <c:pt idx="11">
                  <c:v>0.39</c:v>
                </c:pt>
                <c:pt idx="12">
                  <c:v>0.12</c:v>
                </c:pt>
                <c:pt idx="13">
                  <c:v>0.28999999999999998</c:v>
                </c:pt>
                <c:pt idx="14">
                  <c:v>0.41</c:v>
                </c:pt>
                <c:pt idx="15">
                  <c:v>0.21</c:v>
                </c:pt>
                <c:pt idx="16">
                  <c:v>0.23</c:v>
                </c:pt>
                <c:pt idx="17">
                  <c:v>0.56000000000000005</c:v>
                </c:pt>
                <c:pt idx="18">
                  <c:v>0.13</c:v>
                </c:pt>
                <c:pt idx="19">
                  <c:v>0</c:v>
                </c:pt>
                <c:pt idx="20">
                  <c:v>0.05</c:v>
                </c:pt>
              </c:numCache>
            </c:numRef>
          </c:xVal>
          <c:yVal>
            <c:numRef>
              <c:f>'Framing factors'!$H$4:$H$24</c:f>
              <c:numCache>
                <c:formatCode>General</c:formatCode>
                <c:ptCount val="21"/>
                <c:pt idx="0">
                  <c:v>0.21</c:v>
                </c:pt>
                <c:pt idx="1">
                  <c:v>0.33</c:v>
                </c:pt>
                <c:pt idx="2">
                  <c:v>0.28000000000000003</c:v>
                </c:pt>
                <c:pt idx="3">
                  <c:v>0.32</c:v>
                </c:pt>
                <c:pt idx="4">
                  <c:v>0.22</c:v>
                </c:pt>
                <c:pt idx="5">
                  <c:v>0.21</c:v>
                </c:pt>
                <c:pt idx="6">
                  <c:v>0.37</c:v>
                </c:pt>
                <c:pt idx="7">
                  <c:v>0.41</c:v>
                </c:pt>
                <c:pt idx="8">
                  <c:v>0.32</c:v>
                </c:pt>
                <c:pt idx="9">
                  <c:v>0.45</c:v>
                </c:pt>
                <c:pt idx="10">
                  <c:v>0.32</c:v>
                </c:pt>
                <c:pt idx="11">
                  <c:v>0.28999999999999998</c:v>
                </c:pt>
                <c:pt idx="12">
                  <c:v>0.31</c:v>
                </c:pt>
                <c:pt idx="13">
                  <c:v>0.3</c:v>
                </c:pt>
                <c:pt idx="14">
                  <c:v>0.39</c:v>
                </c:pt>
                <c:pt idx="15">
                  <c:v>0.43</c:v>
                </c:pt>
                <c:pt idx="16">
                  <c:v>0.44</c:v>
                </c:pt>
                <c:pt idx="17">
                  <c:v>0.6</c:v>
                </c:pt>
                <c:pt idx="18">
                  <c:v>0.24</c:v>
                </c:pt>
                <c:pt idx="19">
                  <c:v>0.13</c:v>
                </c:pt>
                <c:pt idx="20">
                  <c:v>0.2</c:v>
                </c:pt>
              </c:numCache>
            </c:numRef>
          </c:yVal>
        </c:ser>
        <c:axId val="67336832"/>
        <c:axId val="67351296"/>
      </c:scatterChart>
      <c:valAx>
        <c:axId val="67336832"/>
        <c:scaling>
          <c:orientation val="minMax"/>
        </c:scaling>
        <c:axPos val="b"/>
        <c:majorGridlines/>
        <c:title>
          <c:tx>
            <c:rich>
              <a:bodyPr/>
              <a:lstStyle/>
              <a:p>
                <a:pPr>
                  <a:defRPr/>
                </a:pPr>
                <a:r>
                  <a:rPr lang="en-US"/>
                  <a:t>Percentage of Window in Wall</a:t>
                </a:r>
              </a:p>
            </c:rich>
          </c:tx>
          <c:layout/>
        </c:title>
        <c:numFmt formatCode="0%" sourceLinked="0"/>
        <c:tickLblPos val="nextTo"/>
        <c:crossAx val="67351296"/>
        <c:crosses val="autoZero"/>
        <c:crossBetween val="midCat"/>
      </c:valAx>
      <c:valAx>
        <c:axId val="67351296"/>
        <c:scaling>
          <c:orientation val="minMax"/>
        </c:scaling>
        <c:axPos val="l"/>
        <c:majorGridlines/>
        <c:title>
          <c:tx>
            <c:rich>
              <a:bodyPr rot="-5400000" vert="horz"/>
              <a:lstStyle/>
              <a:p>
                <a:pPr>
                  <a:defRPr/>
                </a:pPr>
                <a:r>
                  <a:rPr lang="en-US"/>
                  <a:t>Percentage of wall area that is Framing</a:t>
                </a:r>
              </a:p>
            </c:rich>
          </c:tx>
          <c:layout/>
        </c:title>
        <c:numFmt formatCode="0%" sourceLinked="0"/>
        <c:tickLblPos val="nextTo"/>
        <c:crossAx val="67336832"/>
        <c:crosses val="autoZero"/>
        <c:crossBetween val="midCat"/>
      </c:valAx>
    </c:plotArea>
    <c:legend>
      <c:legendPos val="r"/>
      <c:layout>
        <c:manualLayout>
          <c:xMode val="edge"/>
          <c:yMode val="edge"/>
          <c:x val="0.75107824795640021"/>
          <c:y val="0.4450774560226472"/>
          <c:w val="0.23710491121551552"/>
          <c:h val="0.37272667953835936"/>
        </c:manualLayout>
      </c:layout>
    </c:legend>
    <c:plotVisOnly val="1"/>
  </c:chart>
  <c:printSettings>
    <c:headerFooter/>
    <c:pageMargins b="0.75000000000000033" l="0.70000000000000029" r="0.70000000000000029" t="0.75000000000000033" header="0.30000000000000016" footer="0.3000000000000001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layout/>
    </c:title>
    <c:plotArea>
      <c:layout>
        <c:manualLayout>
          <c:layoutTarget val="inner"/>
          <c:xMode val="edge"/>
          <c:yMode val="edge"/>
          <c:x val="9.5541147363830514E-2"/>
          <c:y val="0.16205577287699693"/>
          <c:w val="0.76051431176863837"/>
          <c:h val="0.72085016460793749"/>
        </c:manualLayout>
      </c:layout>
      <c:lineChart>
        <c:grouping val="standard"/>
        <c:ser>
          <c:idx val="0"/>
          <c:order val="0"/>
          <c:tx>
            <c:strRef>
              <c:f>'Framing factors'!$J$30</c:f>
              <c:strCache>
                <c:ptCount val="1"/>
                <c:pt idx="0">
                  <c:v>Differnce Between LFC and SIP Framing Factors</c:v>
                </c:pt>
              </c:strCache>
            </c:strRef>
          </c:tx>
          <c:trendline>
            <c:trendlineType val="linear"/>
            <c:dispEq val="1"/>
            <c:trendlineLbl>
              <c:layout>
                <c:manualLayout>
                  <c:x val="0.16496319414774333"/>
                  <c:y val="0.28449240426164585"/>
                </c:manualLayout>
              </c:layout>
              <c:numFmt formatCode="General" sourceLinked="0"/>
            </c:trendlineLbl>
          </c:trendline>
          <c:cat>
            <c:numRef>
              <c:f>'Framing factors'!$D$31:$D$51</c:f>
              <c:numCache>
                <c:formatCode>General</c:formatCode>
                <c:ptCount val="21"/>
                <c:pt idx="0">
                  <c:v>0</c:v>
                </c:pt>
                <c:pt idx="1">
                  <c:v>0.05</c:v>
                </c:pt>
                <c:pt idx="2">
                  <c:v>7.0000000000000007E-2</c:v>
                </c:pt>
                <c:pt idx="3">
                  <c:v>0.08</c:v>
                </c:pt>
                <c:pt idx="4">
                  <c:v>0.12</c:v>
                </c:pt>
                <c:pt idx="5">
                  <c:v>0.12</c:v>
                </c:pt>
                <c:pt idx="6">
                  <c:v>0.13</c:v>
                </c:pt>
                <c:pt idx="7">
                  <c:v>0.13</c:v>
                </c:pt>
                <c:pt idx="8">
                  <c:v>0.16</c:v>
                </c:pt>
                <c:pt idx="9">
                  <c:v>0.17</c:v>
                </c:pt>
                <c:pt idx="10">
                  <c:v>0.21</c:v>
                </c:pt>
                <c:pt idx="11">
                  <c:v>0.23</c:v>
                </c:pt>
                <c:pt idx="12">
                  <c:v>0.25</c:v>
                </c:pt>
                <c:pt idx="13">
                  <c:v>0.26</c:v>
                </c:pt>
                <c:pt idx="14">
                  <c:v>0.27</c:v>
                </c:pt>
                <c:pt idx="15">
                  <c:v>0.28999999999999998</c:v>
                </c:pt>
                <c:pt idx="16">
                  <c:v>0.37</c:v>
                </c:pt>
                <c:pt idx="17">
                  <c:v>0.39</c:v>
                </c:pt>
                <c:pt idx="18">
                  <c:v>0.41</c:v>
                </c:pt>
                <c:pt idx="19">
                  <c:v>0.46</c:v>
                </c:pt>
                <c:pt idx="20">
                  <c:v>0.56000000000000005</c:v>
                </c:pt>
              </c:numCache>
            </c:numRef>
          </c:cat>
          <c:val>
            <c:numRef>
              <c:f>'Framing factors'!$J$31:$J$51</c:f>
              <c:numCache>
                <c:formatCode>General</c:formatCode>
                <c:ptCount val="21"/>
                <c:pt idx="0">
                  <c:v>0.12000000000000001</c:v>
                </c:pt>
                <c:pt idx="1">
                  <c:v>0.15000000000000002</c:v>
                </c:pt>
                <c:pt idx="2">
                  <c:v>0.16999999999999998</c:v>
                </c:pt>
                <c:pt idx="3">
                  <c:v>0.27</c:v>
                </c:pt>
                <c:pt idx="4">
                  <c:v>0.28999999999999998</c:v>
                </c:pt>
                <c:pt idx="5">
                  <c:v>0.22</c:v>
                </c:pt>
                <c:pt idx="6">
                  <c:v>0.15</c:v>
                </c:pt>
                <c:pt idx="7">
                  <c:v>0.24</c:v>
                </c:pt>
                <c:pt idx="8">
                  <c:v>0.23</c:v>
                </c:pt>
                <c:pt idx="9">
                  <c:v>0.18000000000000002</c:v>
                </c:pt>
                <c:pt idx="10">
                  <c:v>0.22</c:v>
                </c:pt>
                <c:pt idx="11">
                  <c:v>0.22</c:v>
                </c:pt>
                <c:pt idx="12">
                  <c:v>0.13999999999999999</c:v>
                </c:pt>
                <c:pt idx="13">
                  <c:v>0.33</c:v>
                </c:pt>
                <c:pt idx="14">
                  <c:v>7.9999999999999988E-2</c:v>
                </c:pt>
                <c:pt idx="15">
                  <c:v>0.15</c:v>
                </c:pt>
                <c:pt idx="16">
                  <c:v>0.19</c:v>
                </c:pt>
                <c:pt idx="17">
                  <c:v>0.14999999999999997</c:v>
                </c:pt>
                <c:pt idx="18">
                  <c:v>0.15000000000000002</c:v>
                </c:pt>
                <c:pt idx="19">
                  <c:v>0.26</c:v>
                </c:pt>
                <c:pt idx="20">
                  <c:v>0.12</c:v>
                </c:pt>
              </c:numCache>
            </c:numRef>
          </c:val>
        </c:ser>
        <c:marker val="1"/>
        <c:axId val="67391872"/>
        <c:axId val="67393792"/>
      </c:lineChart>
      <c:catAx>
        <c:axId val="67391872"/>
        <c:scaling>
          <c:orientation val="minMax"/>
        </c:scaling>
        <c:axPos val="b"/>
        <c:majorGridlines/>
        <c:title>
          <c:tx>
            <c:rich>
              <a:bodyPr/>
              <a:lstStyle/>
              <a:p>
                <a:pPr>
                  <a:defRPr/>
                </a:pPr>
                <a:r>
                  <a:rPr lang="en-US"/>
                  <a:t>Percentage</a:t>
                </a:r>
                <a:r>
                  <a:rPr lang="en-US" baseline="0"/>
                  <a:t> of Window in Wall</a:t>
                </a:r>
                <a:endParaRPr lang="en-US"/>
              </a:p>
            </c:rich>
          </c:tx>
          <c:layout/>
        </c:title>
        <c:numFmt formatCode="0%" sourceLinked="0"/>
        <c:tickLblPos val="nextTo"/>
        <c:crossAx val="67393792"/>
        <c:crosses val="autoZero"/>
        <c:auto val="1"/>
        <c:lblAlgn val="ctr"/>
        <c:lblOffset val="100"/>
      </c:catAx>
      <c:valAx>
        <c:axId val="67393792"/>
        <c:scaling>
          <c:orientation val="minMax"/>
        </c:scaling>
        <c:axPos val="l"/>
        <c:majorGridlines/>
        <c:title>
          <c:tx>
            <c:rich>
              <a:bodyPr rot="-5400000" vert="horz"/>
              <a:lstStyle/>
              <a:p>
                <a:pPr>
                  <a:defRPr/>
                </a:pPr>
                <a:r>
                  <a:rPr lang="en-US"/>
                  <a:t>Percentage</a:t>
                </a:r>
                <a:r>
                  <a:rPr lang="en-US" baseline="0"/>
                  <a:t>  Differnce between LCF and SIP</a:t>
                </a:r>
                <a:endParaRPr lang="en-US"/>
              </a:p>
            </c:rich>
          </c:tx>
          <c:layout>
            <c:manualLayout>
              <c:xMode val="edge"/>
              <c:yMode val="edge"/>
              <c:x val="2.4517482465579696E-2"/>
              <c:y val="0.25009002320812779"/>
            </c:manualLayout>
          </c:layout>
        </c:title>
        <c:numFmt formatCode="0%" sourceLinked="0"/>
        <c:tickLblPos val="nextTo"/>
        <c:crossAx val="67391872"/>
        <c:crossesAt val="1"/>
        <c:crossBetween val="between"/>
      </c:valAx>
    </c:plotArea>
    <c:legend>
      <c:legendPos val="r"/>
      <c:layout>
        <c:manualLayout>
          <c:xMode val="edge"/>
          <c:yMode val="edge"/>
          <c:x val="0.86250732783084072"/>
          <c:y val="0.30820181417279052"/>
          <c:w val="0.12481691645835896"/>
          <c:h val="0.4746467614814589"/>
        </c:manualLayout>
      </c:layout>
    </c:legend>
    <c:plotVisOnly val="1"/>
  </c:chart>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142875</xdr:colOff>
      <xdr:row>6</xdr:row>
      <xdr:rowOff>28575</xdr:rowOff>
    </xdr:from>
    <xdr:to>
      <xdr:col>9</xdr:col>
      <xdr:colOff>351431</xdr:colOff>
      <xdr:row>23</xdr:row>
      <xdr:rowOff>9525</xdr:rowOff>
    </xdr:to>
    <xdr:pic>
      <xdr:nvPicPr>
        <xdr:cNvPr id="3" name="Picture 2" descr="https://law.resource.org/pub/us/code/bsc.ca.gov/images/gov.ca.bsc.2010.02.5_046_01.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2495550" y="1352550"/>
          <a:ext cx="4599581" cy="33813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xdr:col>
      <xdr:colOff>47625</xdr:colOff>
      <xdr:row>26</xdr:row>
      <xdr:rowOff>28575</xdr:rowOff>
    </xdr:from>
    <xdr:to>
      <xdr:col>11</xdr:col>
      <xdr:colOff>266700</xdr:colOff>
      <xdr:row>42</xdr:row>
      <xdr:rowOff>38100</xdr:rowOff>
    </xdr:to>
    <xdr:pic>
      <xdr:nvPicPr>
        <xdr:cNvPr id="1025" name="Picture 1" descr="Henry's Map"/>
        <xdr:cNvPicPr>
          <a:picLocks noChangeAspect="1" noChangeArrowheads="1"/>
        </xdr:cNvPicPr>
      </xdr:nvPicPr>
      <xdr:blipFill>
        <a:blip xmlns:r="http://schemas.openxmlformats.org/officeDocument/2006/relationships" r:embed="rId2"/>
        <a:srcRect l="4776" t="2801" r="2413" b="2801"/>
        <a:stretch>
          <a:fillRect/>
        </a:stretch>
      </xdr:blipFill>
      <xdr:spPr bwMode="auto">
        <a:xfrm>
          <a:off x="2590800" y="5353050"/>
          <a:ext cx="5553075" cy="32099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38100</xdr:colOff>
      <xdr:row>32</xdr:row>
      <xdr:rowOff>9525</xdr:rowOff>
    </xdr:from>
    <xdr:to>
      <xdr:col>10</xdr:col>
      <xdr:colOff>142875</xdr:colOff>
      <xdr:row>44</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381000</xdr:colOff>
      <xdr:row>32</xdr:row>
      <xdr:rowOff>66675</xdr:rowOff>
    </xdr:from>
    <xdr:to>
      <xdr:col>18</xdr:col>
      <xdr:colOff>190500</xdr:colOff>
      <xdr:row>44</xdr:row>
      <xdr:rowOff>114300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390525</xdr:colOff>
      <xdr:row>45</xdr:row>
      <xdr:rowOff>85725</xdr:rowOff>
    </xdr:from>
    <xdr:to>
      <xdr:col>18</xdr:col>
      <xdr:colOff>200025</xdr:colOff>
      <xdr:row>61</xdr:row>
      <xdr:rowOff>123825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390525</xdr:colOff>
      <xdr:row>62</xdr:row>
      <xdr:rowOff>104775</xdr:rowOff>
    </xdr:from>
    <xdr:to>
      <xdr:col>18</xdr:col>
      <xdr:colOff>200025</xdr:colOff>
      <xdr:row>78</xdr:row>
      <xdr:rowOff>152400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28576</xdr:colOff>
      <xdr:row>2</xdr:row>
      <xdr:rowOff>47623</xdr:rowOff>
    </xdr:from>
    <xdr:to>
      <xdr:col>19</xdr:col>
      <xdr:colOff>9525</xdr:colOff>
      <xdr:row>24</xdr:row>
      <xdr:rowOff>28575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66673</xdr:colOff>
      <xdr:row>25</xdr:row>
      <xdr:rowOff>9524</xdr:rowOff>
    </xdr:from>
    <xdr:to>
      <xdr:col>22</xdr:col>
      <xdr:colOff>190500</xdr:colOff>
      <xdr:row>41</xdr:row>
      <xdr:rowOff>161925</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142875</xdr:colOff>
      <xdr:row>6</xdr:row>
      <xdr:rowOff>28575</xdr:rowOff>
    </xdr:from>
    <xdr:to>
      <xdr:col>9</xdr:col>
      <xdr:colOff>351431</xdr:colOff>
      <xdr:row>23</xdr:row>
      <xdr:rowOff>9525</xdr:rowOff>
    </xdr:to>
    <xdr:pic>
      <xdr:nvPicPr>
        <xdr:cNvPr id="2" name="Picture 1" descr="https://law.resource.org/pub/us/code/bsc.ca.gov/images/gov.ca.bsc.2010.02.5_046_01.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2686050" y="1352550"/>
          <a:ext cx="4599581" cy="33813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xdr:col>
      <xdr:colOff>47625</xdr:colOff>
      <xdr:row>26</xdr:row>
      <xdr:rowOff>28575</xdr:rowOff>
    </xdr:from>
    <xdr:to>
      <xdr:col>11</xdr:col>
      <xdr:colOff>266700</xdr:colOff>
      <xdr:row>42</xdr:row>
      <xdr:rowOff>38100</xdr:rowOff>
    </xdr:to>
    <xdr:pic>
      <xdr:nvPicPr>
        <xdr:cNvPr id="3" name="Picture 1" descr="Henry's Map"/>
        <xdr:cNvPicPr>
          <a:picLocks noChangeAspect="1" noChangeArrowheads="1"/>
        </xdr:cNvPicPr>
      </xdr:nvPicPr>
      <xdr:blipFill>
        <a:blip xmlns:r="http://schemas.openxmlformats.org/officeDocument/2006/relationships" r:embed="rId2"/>
        <a:srcRect l="4776" t="2801" r="2413" b="2801"/>
        <a:stretch>
          <a:fillRect/>
        </a:stretch>
      </xdr:blipFill>
      <xdr:spPr bwMode="auto">
        <a:xfrm>
          <a:off x="2590800" y="5353050"/>
          <a:ext cx="5553075" cy="32099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142875</xdr:colOff>
      <xdr:row>6</xdr:row>
      <xdr:rowOff>28575</xdr:rowOff>
    </xdr:from>
    <xdr:to>
      <xdr:col>9</xdr:col>
      <xdr:colOff>351431</xdr:colOff>
      <xdr:row>23</xdr:row>
      <xdr:rowOff>9525</xdr:rowOff>
    </xdr:to>
    <xdr:pic>
      <xdr:nvPicPr>
        <xdr:cNvPr id="2" name="Picture 1" descr="https://law.resource.org/pub/us/code/bsc.ca.gov/images/gov.ca.bsc.2010.02.5_046_01.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2686050" y="1352550"/>
          <a:ext cx="4599581" cy="33813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3</xdr:col>
      <xdr:colOff>47625</xdr:colOff>
      <xdr:row>26</xdr:row>
      <xdr:rowOff>28575</xdr:rowOff>
    </xdr:from>
    <xdr:to>
      <xdr:col>11</xdr:col>
      <xdr:colOff>266700</xdr:colOff>
      <xdr:row>42</xdr:row>
      <xdr:rowOff>38100</xdr:rowOff>
    </xdr:to>
    <xdr:pic>
      <xdr:nvPicPr>
        <xdr:cNvPr id="3" name="Picture 1" descr="Henry's Map"/>
        <xdr:cNvPicPr>
          <a:picLocks noChangeAspect="1" noChangeArrowheads="1"/>
        </xdr:cNvPicPr>
      </xdr:nvPicPr>
      <xdr:blipFill>
        <a:blip xmlns:r="http://schemas.openxmlformats.org/officeDocument/2006/relationships" r:embed="rId2"/>
        <a:srcRect l="4776" t="2801" r="2413" b="2801"/>
        <a:stretch>
          <a:fillRect/>
        </a:stretch>
      </xdr:blipFill>
      <xdr:spPr bwMode="auto">
        <a:xfrm>
          <a:off x="2590800" y="5353050"/>
          <a:ext cx="5553075" cy="3209925"/>
        </a:xfrm>
        <a:prstGeom prst="rect">
          <a:avLst/>
        </a:prstGeom>
        <a:noFill/>
      </xdr:spPr>
    </xdr:pic>
    <xdr:clientData/>
  </xdr:twoCellAnchor>
</xdr:wsDr>
</file>

<file path=xl/tables/table1.xml><?xml version="1.0" encoding="utf-8"?>
<table xmlns="http://schemas.openxmlformats.org/spreadsheetml/2006/main" id="1" name="Table1" displayName="Table1" ref="C33:G40" totalsRowShown="0" dataDxfId="21" tableBorderDxfId="20">
  <tableColumns count="5">
    <tableColumn id="1" name="variable" dataDxfId="19" totalsRowDxfId="18"/>
    <tableColumn id="2" name="Bath Fan" dataDxfId="17" totalsRowDxfId="16"/>
    <tableColumn id="3" name="HRV" dataDxfId="15" totalsRowDxfId="14"/>
    <tableColumn id="4" name="Units" dataDxfId="13" totalsRowDxfId="12"/>
    <tableColumn id="5" name="Number hours per day" dataDxfId="11" totalsRowDxfId="10"/>
  </tableColumns>
  <tableStyleInfo name="TableStyleLight1" showFirstColumn="1" showLastColumn="0" showRowStripes="1" showColumnStripes="1"/>
</table>
</file>

<file path=xl/tables/table2.xml><?xml version="1.0" encoding="utf-8"?>
<table xmlns="http://schemas.openxmlformats.org/spreadsheetml/2006/main" id="4" name="Table15" displayName="Table15" ref="J33:N40" totalsRowShown="0" dataDxfId="9" tableBorderDxfId="8">
  <tableColumns count="5">
    <tableColumn id="1" name="variable" dataDxfId="7" totalsRowDxfId="6"/>
    <tableColumn id="2" name="Bath Fan" dataDxfId="5"/>
    <tableColumn id="3" name="HRV" dataDxfId="4"/>
    <tableColumn id="4" name="Units" dataDxfId="3" totalsRowDxfId="2"/>
    <tableColumn id="5" name="Number hours per day" dataDxfId="1" totalsRowDxfId="0"/>
  </tableColumns>
  <tableStyleInfo name="TableStyleLight1" showFirstColumn="1" showLastColumn="0" showRowStripes="1"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2:U113"/>
  <sheetViews>
    <sheetView tabSelected="1" topLeftCell="B22" workbookViewId="0">
      <selection activeCell="G93" sqref="G93"/>
    </sheetView>
  </sheetViews>
  <sheetFormatPr defaultRowHeight="15.75"/>
  <cols>
    <col min="2" max="2" width="15.875" customWidth="1"/>
    <col min="3" max="3" width="8.5" customWidth="1"/>
    <col min="4" max="4" width="21.25" customWidth="1"/>
    <col min="5" max="5" width="6.375" customWidth="1"/>
    <col min="6" max="6" width="9.25" customWidth="1"/>
    <col min="7" max="7" width="6.125" customWidth="1"/>
    <col min="8" max="8" width="6.5" customWidth="1"/>
    <col min="9" max="10" width="8.125" customWidth="1"/>
    <col min="11" max="11" width="4.25" customWidth="1"/>
    <col min="12" max="12" width="4.875" customWidth="1"/>
    <col min="14" max="14" width="11.5" customWidth="1"/>
    <col min="15" max="15" width="7" customWidth="1"/>
    <col min="16" max="16" width="17.375" customWidth="1"/>
    <col min="17" max="17" width="5.625" customWidth="1"/>
    <col min="18" max="18" width="7.875" customWidth="1"/>
  </cols>
  <sheetData>
    <row r="2" spans="1:19">
      <c r="A2" s="1" t="s">
        <v>361</v>
      </c>
      <c r="B2" s="2" t="s">
        <v>362</v>
      </c>
    </row>
    <row r="3" spans="1:19" ht="25.5" customHeight="1">
      <c r="B3" t="s">
        <v>363</v>
      </c>
      <c r="D3" t="s">
        <v>364</v>
      </c>
      <c r="P3" s="338" t="s">
        <v>336</v>
      </c>
      <c r="Q3" s="338"/>
      <c r="R3" s="338"/>
      <c r="S3" s="338"/>
    </row>
    <row r="4" spans="1:19">
      <c r="B4" t="s">
        <v>279</v>
      </c>
      <c r="C4" s="41">
        <v>6948</v>
      </c>
      <c r="P4" s="1" t="s">
        <v>278</v>
      </c>
      <c r="Q4" s="1" t="s">
        <v>337</v>
      </c>
      <c r="R4" s="1" t="s">
        <v>279</v>
      </c>
      <c r="S4" s="1" t="s">
        <v>280</v>
      </c>
    </row>
    <row r="5" spans="1:19">
      <c r="B5" t="s">
        <v>367</v>
      </c>
      <c r="C5">
        <v>65</v>
      </c>
      <c r="D5" t="s">
        <v>365</v>
      </c>
      <c r="P5" t="s">
        <v>281</v>
      </c>
      <c r="Q5" s="246" t="s">
        <v>282</v>
      </c>
      <c r="R5">
        <v>10570</v>
      </c>
      <c r="S5">
        <v>688</v>
      </c>
    </row>
    <row r="6" spans="1:19">
      <c r="B6" t="s">
        <v>368</v>
      </c>
      <c r="D6" t="s">
        <v>369</v>
      </c>
      <c r="P6" t="s">
        <v>283</v>
      </c>
      <c r="Q6" s="246" t="s">
        <v>282</v>
      </c>
      <c r="R6">
        <v>13940</v>
      </c>
      <c r="S6">
        <v>1040</v>
      </c>
    </row>
    <row r="7" spans="1:19">
      <c r="B7" t="s">
        <v>366</v>
      </c>
      <c r="C7" s="41">
        <v>0</v>
      </c>
      <c r="P7" t="s">
        <v>335</v>
      </c>
      <c r="Q7" s="246" t="s">
        <v>284</v>
      </c>
      <c r="R7">
        <v>3016</v>
      </c>
      <c r="S7">
        <v>2883</v>
      </c>
    </row>
    <row r="8" spans="1:19">
      <c r="P8" t="s">
        <v>285</v>
      </c>
      <c r="Q8" s="246" t="s">
        <v>286</v>
      </c>
      <c r="R8">
        <v>5554</v>
      </c>
      <c r="S8">
        <v>2820</v>
      </c>
    </row>
    <row r="9" spans="1:19">
      <c r="P9" t="s">
        <v>287</v>
      </c>
      <c r="Q9" s="246" t="s">
        <v>288</v>
      </c>
      <c r="R9">
        <v>6155</v>
      </c>
      <c r="S9">
        <v>2768</v>
      </c>
    </row>
    <row r="10" spans="1:19">
      <c r="P10" t="s">
        <v>289</v>
      </c>
      <c r="Q10" s="246" t="s">
        <v>290</v>
      </c>
      <c r="R10">
        <v>4337</v>
      </c>
      <c r="S10">
        <v>3894</v>
      </c>
    </row>
    <row r="11" spans="1:19">
      <c r="P11" t="s">
        <v>291</v>
      </c>
      <c r="Q11" s="246" t="s">
        <v>292</v>
      </c>
      <c r="R11">
        <v>0</v>
      </c>
      <c r="S11">
        <v>9949</v>
      </c>
    </row>
    <row r="12" spans="1:19">
      <c r="P12" t="s">
        <v>293</v>
      </c>
      <c r="Q12" s="246" t="s">
        <v>294</v>
      </c>
      <c r="R12">
        <v>5861</v>
      </c>
      <c r="S12">
        <v>2807</v>
      </c>
    </row>
    <row r="13" spans="1:19">
      <c r="P13" t="s">
        <v>295</v>
      </c>
      <c r="Q13" s="246" t="s">
        <v>296</v>
      </c>
      <c r="R13">
        <v>6536</v>
      </c>
      <c r="S13">
        <v>2941</v>
      </c>
    </row>
    <row r="14" spans="1:19">
      <c r="P14" t="s">
        <v>298</v>
      </c>
      <c r="Q14" s="246" t="s">
        <v>297</v>
      </c>
      <c r="R14">
        <v>5536</v>
      </c>
      <c r="S14">
        <v>3353</v>
      </c>
    </row>
    <row r="15" spans="1:19">
      <c r="P15" t="s">
        <v>300</v>
      </c>
      <c r="Q15" s="246" t="s">
        <v>299</v>
      </c>
      <c r="R15">
        <v>7930</v>
      </c>
      <c r="S15">
        <v>1916</v>
      </c>
    </row>
    <row r="16" spans="1:19">
      <c r="P16" t="s">
        <v>301</v>
      </c>
      <c r="Q16" s="246" t="s">
        <v>299</v>
      </c>
      <c r="R16">
        <v>7378</v>
      </c>
      <c r="S16">
        <v>1943</v>
      </c>
    </row>
    <row r="17" spans="2:19">
      <c r="P17" t="s">
        <v>302</v>
      </c>
      <c r="Q17" s="246" t="s">
        <v>303</v>
      </c>
      <c r="R17">
        <v>4707</v>
      </c>
      <c r="S17">
        <v>3709</v>
      </c>
    </row>
    <row r="18" spans="2:19">
      <c r="P18" t="s">
        <v>305</v>
      </c>
      <c r="Q18" s="246" t="s">
        <v>304</v>
      </c>
      <c r="R18">
        <v>5641</v>
      </c>
      <c r="S18">
        <v>2897</v>
      </c>
    </row>
    <row r="19" spans="2:19">
      <c r="P19" t="s">
        <v>306</v>
      </c>
      <c r="Q19" s="246" t="s">
        <v>304</v>
      </c>
      <c r="R19">
        <v>5754</v>
      </c>
      <c r="S19">
        <v>3037</v>
      </c>
    </row>
    <row r="20" spans="2:19">
      <c r="P20" t="s">
        <v>307</v>
      </c>
      <c r="Q20" s="246" t="s">
        <v>308</v>
      </c>
      <c r="R20">
        <v>6167</v>
      </c>
      <c r="S20">
        <v>3046</v>
      </c>
    </row>
    <row r="21" spans="2:19">
      <c r="D21" s="1"/>
      <c r="P21" t="s">
        <v>309</v>
      </c>
      <c r="Q21" s="246" t="s">
        <v>310</v>
      </c>
      <c r="R21">
        <v>7981</v>
      </c>
      <c r="S21">
        <v>2680</v>
      </c>
    </row>
    <row r="22" spans="2:19">
      <c r="E22" s="43"/>
      <c r="P22" t="s">
        <v>311</v>
      </c>
      <c r="Q22" s="246" t="s">
        <v>312</v>
      </c>
      <c r="R22">
        <v>8645</v>
      </c>
      <c r="S22">
        <v>1718</v>
      </c>
    </row>
    <row r="23" spans="2:19">
      <c r="E23" s="43"/>
      <c r="P23" t="s">
        <v>313</v>
      </c>
      <c r="Q23" s="246" t="s">
        <v>312</v>
      </c>
      <c r="R23">
        <v>7554</v>
      </c>
      <c r="S23">
        <v>2087</v>
      </c>
    </row>
    <row r="24" spans="2:19">
      <c r="E24" s="43"/>
      <c r="P24" t="s">
        <v>314</v>
      </c>
      <c r="Q24" s="246" t="s">
        <v>312</v>
      </c>
      <c r="R24">
        <v>6948</v>
      </c>
      <c r="S24">
        <v>2398</v>
      </c>
    </row>
    <row r="25" spans="2:19">
      <c r="B25" t="s">
        <v>370</v>
      </c>
      <c r="D25" t="s">
        <v>372</v>
      </c>
      <c r="E25" s="43"/>
      <c r="P25" t="s">
        <v>315</v>
      </c>
      <c r="Q25" s="246" t="s">
        <v>312</v>
      </c>
      <c r="R25">
        <v>6572</v>
      </c>
      <c r="S25">
        <v>2418</v>
      </c>
    </row>
    <row r="26" spans="2:19">
      <c r="B26" t="s">
        <v>371</v>
      </c>
      <c r="C26" s="41">
        <v>47</v>
      </c>
      <c r="D26" t="s">
        <v>373</v>
      </c>
      <c r="E26" s="43"/>
      <c r="P26" t="s">
        <v>316</v>
      </c>
      <c r="Q26" s="246" t="s">
        <v>317</v>
      </c>
      <c r="R26">
        <v>5169</v>
      </c>
      <c r="S26">
        <v>3198</v>
      </c>
    </row>
    <row r="27" spans="2:19">
      <c r="B27" t="s">
        <v>374</v>
      </c>
      <c r="C27">
        <f>180*24</f>
        <v>4320</v>
      </c>
      <c r="E27" s="43"/>
      <c r="P27" t="s">
        <v>318</v>
      </c>
      <c r="Q27" s="246" t="s">
        <v>319</v>
      </c>
      <c r="R27">
        <v>6894</v>
      </c>
      <c r="S27">
        <v>2525</v>
      </c>
    </row>
    <row r="28" spans="2:19">
      <c r="E28" s="43"/>
      <c r="P28" t="s">
        <v>320</v>
      </c>
      <c r="Q28" s="246" t="s">
        <v>319</v>
      </c>
      <c r="R28">
        <v>6747</v>
      </c>
      <c r="S28">
        <v>2468</v>
      </c>
    </row>
    <row r="29" spans="2:19">
      <c r="E29" s="43"/>
      <c r="P29" t="s">
        <v>321</v>
      </c>
      <c r="Q29" s="246" t="s">
        <v>319</v>
      </c>
      <c r="R29">
        <v>4805</v>
      </c>
      <c r="S29">
        <v>3634</v>
      </c>
    </row>
    <row r="30" spans="2:19">
      <c r="E30" s="43"/>
      <c r="P30" t="s">
        <v>322</v>
      </c>
      <c r="Q30" s="246" t="s">
        <v>319</v>
      </c>
      <c r="R30">
        <v>6734</v>
      </c>
      <c r="S30">
        <v>2406</v>
      </c>
    </row>
    <row r="31" spans="2:19">
      <c r="E31" s="43"/>
      <c r="P31" t="s">
        <v>323</v>
      </c>
      <c r="Q31" s="246" t="s">
        <v>319</v>
      </c>
      <c r="R31">
        <v>6881</v>
      </c>
      <c r="S31">
        <v>2500</v>
      </c>
    </row>
    <row r="32" spans="2:19">
      <c r="E32" s="43"/>
      <c r="P32" t="s">
        <v>324</v>
      </c>
      <c r="Q32" s="246" t="s">
        <v>325</v>
      </c>
      <c r="R32">
        <v>6201</v>
      </c>
      <c r="S32">
        <v>2755</v>
      </c>
    </row>
    <row r="33" spans="1:19">
      <c r="E33" s="43"/>
      <c r="P33" t="s">
        <v>326</v>
      </c>
      <c r="Q33" s="246" t="s">
        <v>327</v>
      </c>
      <c r="R33">
        <v>4954</v>
      </c>
      <c r="S33">
        <v>3623</v>
      </c>
    </row>
    <row r="34" spans="1:19">
      <c r="E34" s="43"/>
      <c r="P34" t="s">
        <v>328</v>
      </c>
      <c r="Q34" s="246" t="s">
        <v>327</v>
      </c>
      <c r="R34">
        <v>5968</v>
      </c>
      <c r="S34">
        <v>2836</v>
      </c>
    </row>
    <row r="35" spans="1:19">
      <c r="E35" s="43"/>
      <c r="P35" t="s">
        <v>329</v>
      </c>
      <c r="Q35" s="246" t="s">
        <v>327</v>
      </c>
      <c r="R35">
        <v>5584</v>
      </c>
      <c r="S35">
        <v>3079</v>
      </c>
    </row>
    <row r="36" spans="1:19">
      <c r="E36" s="43"/>
      <c r="P36" t="s">
        <v>330</v>
      </c>
      <c r="Q36" s="246" t="s">
        <v>331</v>
      </c>
      <c r="R36">
        <v>5884</v>
      </c>
      <c r="S36">
        <v>2743</v>
      </c>
    </row>
    <row r="37" spans="1:19">
      <c r="E37" s="43"/>
      <c r="P37" t="s">
        <v>332</v>
      </c>
      <c r="Q37" s="246" t="s">
        <v>333</v>
      </c>
      <c r="R37">
        <v>7771</v>
      </c>
      <c r="S37">
        <v>2228</v>
      </c>
    </row>
    <row r="38" spans="1:19">
      <c r="E38" s="43"/>
      <c r="P38" t="s">
        <v>334</v>
      </c>
      <c r="Q38" s="246" t="s">
        <v>333</v>
      </c>
      <c r="R38">
        <v>7066</v>
      </c>
      <c r="S38">
        <v>2345</v>
      </c>
    </row>
    <row r="39" spans="1:19">
      <c r="E39" s="43"/>
    </row>
    <row r="40" spans="1:19">
      <c r="E40" s="43"/>
    </row>
    <row r="41" spans="1:19">
      <c r="E41" s="43"/>
    </row>
    <row r="42" spans="1:19">
      <c r="E42" s="43"/>
    </row>
    <row r="43" spans="1:19">
      <c r="E43" s="43"/>
    </row>
    <row r="44" spans="1:19">
      <c r="E44" s="43"/>
    </row>
    <row r="45" spans="1:19">
      <c r="A45" s="1" t="s">
        <v>375</v>
      </c>
      <c r="B45" s="2" t="s">
        <v>376</v>
      </c>
      <c r="E45" s="43"/>
    </row>
    <row r="46" spans="1:19">
      <c r="B46" t="s">
        <v>377</v>
      </c>
      <c r="C46" s="2" t="s">
        <v>92</v>
      </c>
      <c r="E46" s="43"/>
    </row>
    <row r="47" spans="1:19">
      <c r="C47" t="s">
        <v>94</v>
      </c>
      <c r="E47" s="43"/>
    </row>
    <row r="48" spans="1:19">
      <c r="C48" t="s">
        <v>105</v>
      </c>
      <c r="D48" s="7"/>
      <c r="E48" s="10"/>
      <c r="F48" s="7"/>
    </row>
    <row r="49" spans="2:13">
      <c r="C49" t="s">
        <v>378</v>
      </c>
      <c r="D49" s="7"/>
      <c r="E49" s="10"/>
      <c r="F49" s="7"/>
    </row>
    <row r="50" spans="2:13" ht="47.25">
      <c r="D50" s="2"/>
      <c r="F50" s="153" t="s">
        <v>141</v>
      </c>
      <c r="G50" s="153"/>
      <c r="H50" s="340" t="s">
        <v>33</v>
      </c>
      <c r="I50" s="340"/>
      <c r="J50" s="78" t="s">
        <v>219</v>
      </c>
    </row>
    <row r="51" spans="2:13" ht="18.75">
      <c r="D51" t="s">
        <v>93</v>
      </c>
      <c r="E51" s="43" t="s">
        <v>96</v>
      </c>
      <c r="F51" s="41">
        <v>1344</v>
      </c>
      <c r="G51" t="s">
        <v>95</v>
      </c>
      <c r="H51" s="41">
        <v>0</v>
      </c>
      <c r="I51" t="s">
        <v>32</v>
      </c>
      <c r="J51">
        <v>0</v>
      </c>
    </row>
    <row r="52" spans="2:13" ht="18.75">
      <c r="D52" s="63" t="s">
        <v>97</v>
      </c>
      <c r="E52" s="43" t="s">
        <v>98</v>
      </c>
      <c r="F52" s="41">
        <v>1344</v>
      </c>
      <c r="G52" t="s">
        <v>95</v>
      </c>
      <c r="H52" s="41">
        <v>9</v>
      </c>
      <c r="I52" t="s">
        <v>32</v>
      </c>
      <c r="J52">
        <f>IF(F52&gt;0,1,0)</f>
        <v>1</v>
      </c>
    </row>
    <row r="53" spans="2:13" ht="18.75">
      <c r="D53" s="63" t="s">
        <v>100</v>
      </c>
      <c r="E53" s="43" t="s">
        <v>99</v>
      </c>
      <c r="F53" s="41">
        <v>1344</v>
      </c>
      <c r="G53" t="s">
        <v>95</v>
      </c>
      <c r="H53" s="41">
        <v>8</v>
      </c>
      <c r="I53" t="s">
        <v>32</v>
      </c>
      <c r="J53">
        <f t="shared" ref="J53:J55" si="0">IF(F53&gt;0,1,0)</f>
        <v>1</v>
      </c>
    </row>
    <row r="54" spans="2:13" ht="18.75">
      <c r="D54" s="63" t="s">
        <v>101</v>
      </c>
      <c r="E54" s="43" t="s">
        <v>102</v>
      </c>
      <c r="F54" s="41">
        <v>0</v>
      </c>
      <c r="G54" t="s">
        <v>95</v>
      </c>
      <c r="H54" s="41">
        <v>0</v>
      </c>
      <c r="I54" t="s">
        <v>32</v>
      </c>
      <c r="J54">
        <f t="shared" si="0"/>
        <v>0</v>
      </c>
    </row>
    <row r="55" spans="2:13" ht="18.75">
      <c r="D55" s="63" t="s">
        <v>103</v>
      </c>
      <c r="E55" s="43" t="s">
        <v>104</v>
      </c>
      <c r="F55" s="41">
        <v>1344</v>
      </c>
      <c r="G55" t="s">
        <v>95</v>
      </c>
      <c r="H55" s="41">
        <v>5.25</v>
      </c>
      <c r="I55" t="s">
        <v>32</v>
      </c>
      <c r="J55">
        <f t="shared" si="0"/>
        <v>1</v>
      </c>
    </row>
    <row r="57" spans="2:13" ht="18.75">
      <c r="D57" s="77" t="s">
        <v>106</v>
      </c>
      <c r="E57" t="s">
        <v>107</v>
      </c>
      <c r="F57">
        <f>SUM(F51:F56)</f>
        <v>5376</v>
      </c>
      <c r="G57" t="s">
        <v>95</v>
      </c>
      <c r="J57" s="1">
        <f>SUM(J51:J55)</f>
        <v>3</v>
      </c>
      <c r="K57" s="1" t="s">
        <v>34</v>
      </c>
    </row>
    <row r="58" spans="2:13">
      <c r="D58" t="s">
        <v>218</v>
      </c>
      <c r="F58">
        <f>F52+F53+F54+F55</f>
        <v>4032</v>
      </c>
      <c r="G58" t="s">
        <v>95</v>
      </c>
    </row>
    <row r="60" spans="2:13" ht="31.5">
      <c r="D60" s="76" t="s">
        <v>379</v>
      </c>
      <c r="E60" s="41">
        <v>4</v>
      </c>
      <c r="F60" t="s">
        <v>37</v>
      </c>
    </row>
    <row r="61" spans="2:13">
      <c r="B61" t="s">
        <v>386</v>
      </c>
      <c r="C61" s="2" t="s">
        <v>380</v>
      </c>
    </row>
    <row r="62" spans="2:13">
      <c r="C62" s="337" t="s">
        <v>109</v>
      </c>
      <c r="D62" s="337"/>
      <c r="E62" s="337"/>
      <c r="F62" s="337"/>
      <c r="G62" s="337"/>
      <c r="H62" s="337"/>
      <c r="I62" s="337"/>
      <c r="J62" s="337"/>
      <c r="K62" s="337"/>
      <c r="L62" s="337"/>
      <c r="M62" s="337"/>
    </row>
    <row r="63" spans="2:13" ht="30" customHeight="1">
      <c r="C63" s="339" t="s">
        <v>110</v>
      </c>
      <c r="D63" s="339"/>
      <c r="E63" s="339"/>
      <c r="F63" s="339"/>
      <c r="G63" s="339"/>
      <c r="H63" s="339"/>
      <c r="I63" s="339"/>
      <c r="J63" s="339"/>
      <c r="K63" s="339"/>
      <c r="L63" s="339"/>
      <c r="M63" s="339"/>
    </row>
    <row r="64" spans="2:13" ht="15.75" customHeight="1">
      <c r="C64" t="s">
        <v>123</v>
      </c>
    </row>
    <row r="65" spans="3:17">
      <c r="D65" s="1" t="s">
        <v>111</v>
      </c>
      <c r="H65" t="s">
        <v>108</v>
      </c>
    </row>
    <row r="66" spans="3:17">
      <c r="C66" s="79" t="s">
        <v>112</v>
      </c>
      <c r="D66" s="76" t="s">
        <v>381</v>
      </c>
      <c r="F66" s="41">
        <v>0</v>
      </c>
      <c r="G66" t="s">
        <v>95</v>
      </c>
    </row>
    <row r="67" spans="3:17">
      <c r="C67" s="79" t="s">
        <v>113</v>
      </c>
      <c r="D67" t="s">
        <v>122</v>
      </c>
      <c r="F67" s="41">
        <v>1344</v>
      </c>
      <c r="G67" t="s">
        <v>95</v>
      </c>
      <c r="H67">
        <f>F67</f>
        <v>1344</v>
      </c>
      <c r="I67" t="s">
        <v>95</v>
      </c>
    </row>
    <row r="68" spans="3:17" ht="16.5" customHeight="1">
      <c r="C68" s="79" t="s">
        <v>113</v>
      </c>
      <c r="D68" s="76" t="s">
        <v>114</v>
      </c>
      <c r="F68" s="41">
        <v>152</v>
      </c>
      <c r="G68" t="s">
        <v>32</v>
      </c>
    </row>
    <row r="69" spans="3:17" ht="31.5">
      <c r="D69" s="76" t="s">
        <v>115</v>
      </c>
      <c r="F69" s="41">
        <v>1</v>
      </c>
      <c r="G69" t="s">
        <v>32</v>
      </c>
      <c r="H69">
        <f>F69*F68</f>
        <v>152</v>
      </c>
      <c r="I69" t="s">
        <v>95</v>
      </c>
    </row>
    <row r="70" spans="3:17" ht="31.5" customHeight="1">
      <c r="D70" s="76" t="s">
        <v>116</v>
      </c>
      <c r="F70" s="41">
        <v>8</v>
      </c>
      <c r="G70" t="s">
        <v>32</v>
      </c>
      <c r="H70">
        <f>F68*F70</f>
        <v>1216</v>
      </c>
      <c r="I70" t="s">
        <v>95</v>
      </c>
    </row>
    <row r="71" spans="3:17" ht="18.75">
      <c r="D71" s="76" t="s">
        <v>382</v>
      </c>
      <c r="F71" s="41">
        <v>16</v>
      </c>
      <c r="G71" t="s">
        <v>32</v>
      </c>
      <c r="H71" t="s">
        <v>201</v>
      </c>
    </row>
    <row r="72" spans="3:17">
      <c r="D72" s="247" t="s">
        <v>117</v>
      </c>
    </row>
    <row r="73" spans="3:17">
      <c r="D73" s="76" t="s">
        <v>118</v>
      </c>
      <c r="F73" s="41">
        <v>816</v>
      </c>
      <c r="G73" t="s">
        <v>95</v>
      </c>
    </row>
    <row r="74" spans="3:17">
      <c r="D74" s="76" t="s">
        <v>119</v>
      </c>
      <c r="F74" s="41">
        <v>816</v>
      </c>
      <c r="G74" t="s">
        <v>95</v>
      </c>
    </row>
    <row r="75" spans="3:17">
      <c r="D75" s="76" t="s">
        <v>120</v>
      </c>
      <c r="F75" s="41">
        <v>623</v>
      </c>
      <c r="G75" t="s">
        <v>95</v>
      </c>
    </row>
    <row r="76" spans="3:17">
      <c r="D76" s="76" t="s">
        <v>121</v>
      </c>
      <c r="F76" s="41">
        <v>623</v>
      </c>
      <c r="G76" t="s">
        <v>95</v>
      </c>
    </row>
    <row r="78" spans="3:17" ht="18.75">
      <c r="D78" s="76" t="s">
        <v>383</v>
      </c>
      <c r="E78" s="63" t="s">
        <v>137</v>
      </c>
      <c r="F78" s="63">
        <f>SUM(F73:F76)</f>
        <v>2878</v>
      </c>
      <c r="G78" s="63" t="s">
        <v>95</v>
      </c>
    </row>
    <row r="80" spans="3:17" ht="33" customHeight="1">
      <c r="D80" s="247" t="s">
        <v>124</v>
      </c>
      <c r="E80" t="s">
        <v>131</v>
      </c>
      <c r="F80" s="232" t="s">
        <v>384</v>
      </c>
      <c r="G80" s="76" t="s">
        <v>133</v>
      </c>
      <c r="H80" s="76"/>
      <c r="I80" s="76" t="s">
        <v>143</v>
      </c>
      <c r="J80" s="76" t="s">
        <v>144</v>
      </c>
      <c r="K80" s="76" t="s">
        <v>145</v>
      </c>
      <c r="M80" s="340" t="s">
        <v>385</v>
      </c>
      <c r="N80" s="340"/>
      <c r="O80" s="340"/>
      <c r="P80" s="340"/>
      <c r="Q80" s="340"/>
    </row>
    <row r="81" spans="4:21">
      <c r="D81" t="s">
        <v>125</v>
      </c>
      <c r="E81" s="41">
        <v>35</v>
      </c>
      <c r="F81" s="41">
        <v>15</v>
      </c>
      <c r="G81">
        <f>F81*E81</f>
        <v>525</v>
      </c>
      <c r="I81" s="41">
        <v>3</v>
      </c>
      <c r="J81">
        <f>1/I81</f>
        <v>0.33333333333333331</v>
      </c>
      <c r="K81">
        <f>J81*G81</f>
        <v>175</v>
      </c>
      <c r="M81" t="s">
        <v>150</v>
      </c>
    </row>
    <row r="82" spans="4:21">
      <c r="D82" s="76" t="s">
        <v>126</v>
      </c>
      <c r="E82" s="41">
        <v>17</v>
      </c>
      <c r="F82" s="41">
        <v>9</v>
      </c>
      <c r="G82">
        <f t="shared" ref="G82:G84" si="1">F82*E82</f>
        <v>153</v>
      </c>
      <c r="I82" s="41">
        <v>3</v>
      </c>
      <c r="J82">
        <f t="shared" ref="J82:J84" si="2">1/I82</f>
        <v>0.33333333333333331</v>
      </c>
      <c r="K82">
        <f t="shared" ref="K82:K84" si="3">J82*G82</f>
        <v>51</v>
      </c>
    </row>
    <row r="83" spans="4:21">
      <c r="D83" t="s">
        <v>127</v>
      </c>
      <c r="E83" s="41">
        <v>0</v>
      </c>
      <c r="F83" s="41">
        <v>0</v>
      </c>
      <c r="G83">
        <f t="shared" si="1"/>
        <v>0</v>
      </c>
      <c r="I83" s="41">
        <v>3</v>
      </c>
      <c r="J83">
        <f t="shared" si="2"/>
        <v>0.33333333333333331</v>
      </c>
      <c r="K83">
        <f t="shared" si="3"/>
        <v>0</v>
      </c>
    </row>
    <row r="84" spans="4:21">
      <c r="D84" s="76" t="s">
        <v>128</v>
      </c>
      <c r="E84" s="41">
        <v>0</v>
      </c>
      <c r="F84" s="41">
        <v>0</v>
      </c>
      <c r="G84">
        <f t="shared" si="1"/>
        <v>0</v>
      </c>
      <c r="I84" s="41">
        <v>3</v>
      </c>
      <c r="J84">
        <f t="shared" si="2"/>
        <v>0.33333333333333331</v>
      </c>
      <c r="K84">
        <f t="shared" si="3"/>
        <v>0</v>
      </c>
    </row>
    <row r="85" spans="4:21">
      <c r="D85" t="s">
        <v>129</v>
      </c>
    </row>
    <row r="86" spans="4:21">
      <c r="D86" s="76" t="s">
        <v>130</v>
      </c>
    </row>
    <row r="87" spans="4:21">
      <c r="D87" t="s">
        <v>134</v>
      </c>
    </row>
    <row r="88" spans="4:21">
      <c r="D88" s="76" t="s">
        <v>135</v>
      </c>
    </row>
    <row r="89" spans="4:21">
      <c r="D89" t="s">
        <v>136</v>
      </c>
    </row>
    <row r="91" spans="4:21" ht="18.75">
      <c r="D91" t="s">
        <v>132</v>
      </c>
      <c r="E91">
        <f>SUM(E81:E84)</f>
        <v>52</v>
      </c>
      <c r="G91">
        <f>SUM(G81:G85)</f>
        <v>678</v>
      </c>
      <c r="I91" s="1" t="s">
        <v>146</v>
      </c>
      <c r="J91" s="1" t="s">
        <v>152</v>
      </c>
      <c r="K91" s="1">
        <f>SUM(K81:K90)</f>
        <v>226</v>
      </c>
    </row>
    <row r="92" spans="4:21">
      <c r="D92" t="s">
        <v>461</v>
      </c>
      <c r="E92" s="301">
        <f>(G91+G100)/F78</f>
        <v>0.31480194579569143</v>
      </c>
      <c r="G92" s="337"/>
      <c r="H92" s="337"/>
      <c r="N92" s="245"/>
      <c r="O92" s="245"/>
      <c r="P92" s="245"/>
      <c r="Q92" s="245"/>
      <c r="R92" s="245"/>
      <c r="S92" s="245"/>
      <c r="T92" s="245"/>
      <c r="U92" s="245"/>
    </row>
    <row r="93" spans="4:21">
      <c r="D93" t="s">
        <v>428</v>
      </c>
      <c r="E93" s="301">
        <f>0.5308*E92+0.0109</f>
        <v>0.17799687282835303</v>
      </c>
      <c r="G93" s="243"/>
      <c r="H93" s="243"/>
      <c r="N93" s="245"/>
      <c r="O93" s="245"/>
      <c r="P93" s="245"/>
      <c r="Q93" s="245"/>
      <c r="R93" s="245"/>
      <c r="S93" s="245"/>
      <c r="T93" s="245"/>
      <c r="U93" s="245"/>
    </row>
    <row r="94" spans="4:21">
      <c r="D94" t="s">
        <v>429</v>
      </c>
      <c r="E94" s="301">
        <f>0.4668*E92+0.2172</f>
        <v>0.36414954829742874</v>
      </c>
      <c r="G94" s="243"/>
      <c r="H94" s="243"/>
      <c r="N94" s="245"/>
      <c r="O94" s="245"/>
      <c r="P94" s="245"/>
      <c r="Q94" s="245"/>
      <c r="R94" s="245"/>
      <c r="S94" s="245"/>
      <c r="T94" s="245"/>
      <c r="U94" s="245"/>
    </row>
    <row r="95" spans="4:21" ht="31.5">
      <c r="D95" t="s">
        <v>5</v>
      </c>
      <c r="E95" t="s">
        <v>131</v>
      </c>
      <c r="F95" t="s">
        <v>141</v>
      </c>
      <c r="G95" t="s">
        <v>133</v>
      </c>
      <c r="I95" s="76" t="s">
        <v>147</v>
      </c>
      <c r="J95" s="76" t="s">
        <v>148</v>
      </c>
      <c r="K95" t="s">
        <v>149</v>
      </c>
      <c r="N95" s="245"/>
      <c r="O95" s="245"/>
      <c r="P95" s="245"/>
      <c r="Q95" s="245"/>
      <c r="R95" s="245"/>
      <c r="S95" s="245"/>
      <c r="T95" s="245"/>
      <c r="U95" s="245"/>
    </row>
    <row r="96" spans="4:21">
      <c r="D96" t="s">
        <v>138</v>
      </c>
      <c r="E96" s="41">
        <v>2</v>
      </c>
      <c r="F96" s="41">
        <v>22</v>
      </c>
      <c r="G96">
        <f>F96*E96</f>
        <v>44</v>
      </c>
      <c r="I96" s="41">
        <v>2</v>
      </c>
      <c r="J96">
        <f>1/I96</f>
        <v>0.5</v>
      </c>
      <c r="K96">
        <f>J96*G96</f>
        <v>22</v>
      </c>
    </row>
    <row r="97" spans="4:11">
      <c r="D97" t="s">
        <v>139</v>
      </c>
      <c r="E97" s="41">
        <v>4</v>
      </c>
      <c r="F97" s="41">
        <v>46</v>
      </c>
      <c r="G97">
        <f t="shared" ref="G97:G98" si="4">F97*E97</f>
        <v>184</v>
      </c>
      <c r="I97" s="41">
        <v>3</v>
      </c>
      <c r="J97">
        <f>1/I97</f>
        <v>0.33333333333333331</v>
      </c>
      <c r="K97">
        <f>J97*G97</f>
        <v>61.333333333333329</v>
      </c>
    </row>
    <row r="98" spans="4:11">
      <c r="D98" t="s">
        <v>140</v>
      </c>
      <c r="E98" s="41"/>
      <c r="F98" s="41"/>
      <c r="G98">
        <f t="shared" si="4"/>
        <v>0</v>
      </c>
      <c r="I98" s="41"/>
    </row>
    <row r="99" spans="4:11">
      <c r="E99" s="41"/>
      <c r="F99" s="41"/>
      <c r="I99" s="41"/>
    </row>
    <row r="100" spans="4:11" ht="18.75">
      <c r="D100" t="s">
        <v>142</v>
      </c>
      <c r="E100">
        <f>SUM(E96:E99)</f>
        <v>6</v>
      </c>
      <c r="G100">
        <f>SUM(G96:G99)</f>
        <v>228</v>
      </c>
      <c r="I100" s="1" t="s">
        <v>146</v>
      </c>
      <c r="J100" s="1" t="s">
        <v>151</v>
      </c>
      <c r="K100" s="1">
        <f>SUM(K96:K99)</f>
        <v>83.333333333333329</v>
      </c>
    </row>
    <row r="103" spans="4:11">
      <c r="D103" s="1" t="s">
        <v>23</v>
      </c>
      <c r="E103" s="1"/>
      <c r="F103" s="1"/>
      <c r="G103" s="1"/>
    </row>
    <row r="104" spans="4:11">
      <c r="D104" s="1" t="s">
        <v>155</v>
      </c>
      <c r="E104" s="1"/>
      <c r="F104" s="1">
        <f>F78-(G91+G100)</f>
        <v>1972</v>
      </c>
      <c r="G104" s="1" t="s">
        <v>95</v>
      </c>
    </row>
    <row r="106" spans="4:11">
      <c r="D106" t="s">
        <v>177</v>
      </c>
    </row>
    <row r="107" spans="4:11">
      <c r="D107" s="2" t="s">
        <v>178</v>
      </c>
    </row>
    <row r="108" spans="4:11" ht="21" customHeight="1">
      <c r="D108" t="s">
        <v>183</v>
      </c>
      <c r="E108" s="41">
        <v>10</v>
      </c>
      <c r="G108" s="153" t="s">
        <v>184</v>
      </c>
    </row>
    <row r="109" spans="4:11">
      <c r="D109" t="s">
        <v>179</v>
      </c>
      <c r="E109" s="41">
        <v>492</v>
      </c>
      <c r="F109" t="s">
        <v>95</v>
      </c>
      <c r="G109" s="45">
        <f>(SQRT(12^2+$E$108^2)*E109)/$E$108</f>
        <v>768.5285681092148</v>
      </c>
    </row>
    <row r="110" spans="4:11">
      <c r="D110" t="s">
        <v>180</v>
      </c>
      <c r="E110" s="41">
        <v>492</v>
      </c>
      <c r="F110" t="s">
        <v>95</v>
      </c>
      <c r="G110" s="45">
        <f t="shared" ref="G110:G112" si="5">(SQRT(12^2+$E$108^2)*E110)/$E$108</f>
        <v>768.5285681092148</v>
      </c>
    </row>
    <row r="111" spans="4:11">
      <c r="D111" t="s">
        <v>181</v>
      </c>
      <c r="E111" s="41">
        <v>0</v>
      </c>
      <c r="F111" t="s">
        <v>95</v>
      </c>
      <c r="G111" s="45">
        <f t="shared" si="5"/>
        <v>0</v>
      </c>
    </row>
    <row r="112" spans="4:11">
      <c r="D112" t="s">
        <v>182</v>
      </c>
      <c r="E112" s="41">
        <v>0</v>
      </c>
      <c r="F112" t="s">
        <v>95</v>
      </c>
      <c r="G112" s="45">
        <f t="shared" si="5"/>
        <v>0</v>
      </c>
    </row>
    <row r="113" spans="4:8">
      <c r="D113" s="1" t="s">
        <v>185</v>
      </c>
      <c r="E113" s="1"/>
      <c r="F113" s="1"/>
      <c r="G113" s="83">
        <v>1888</v>
      </c>
      <c r="H113" s="1" t="s">
        <v>95</v>
      </c>
    </row>
  </sheetData>
  <mergeCells count="6">
    <mergeCell ref="G92:H92"/>
    <mergeCell ref="P3:S3"/>
    <mergeCell ref="C63:M63"/>
    <mergeCell ref="C62:M62"/>
    <mergeCell ref="H50:I50"/>
    <mergeCell ref="M80:Q80"/>
  </mergeCells>
  <pageMargins left="0.7" right="0.7" top="0.75" bottom="0.75" header="0.3" footer="0.3"/>
  <pageSetup orientation="portrait" horizontalDpi="0" verticalDpi="0" r:id="rId1"/>
  <drawing r:id="rId2"/>
</worksheet>
</file>

<file path=xl/worksheets/sheet2.xml><?xml version="1.0" encoding="utf-8"?>
<worksheet xmlns="http://schemas.openxmlformats.org/spreadsheetml/2006/main" xmlns:r="http://schemas.openxmlformats.org/officeDocument/2006/relationships">
  <dimension ref="B2:N37"/>
  <sheetViews>
    <sheetView topLeftCell="B1" workbookViewId="0">
      <selection activeCell="L27" sqref="L27"/>
    </sheetView>
  </sheetViews>
  <sheetFormatPr defaultRowHeight="15.75"/>
  <cols>
    <col min="1" max="1" width="2.625" customWidth="1"/>
    <col min="2" max="4" width="10.875" customWidth="1"/>
    <col min="5" max="5" width="11.625" customWidth="1"/>
    <col min="6" max="6" width="13.125" customWidth="1"/>
    <col min="7" max="7" width="10.75" customWidth="1"/>
    <col min="8" max="8" width="10.5" customWidth="1"/>
    <col min="9" max="9" width="9" customWidth="1"/>
    <col min="10" max="10" width="30.75" customWidth="1"/>
    <col min="11" max="11" width="7.5" customWidth="1"/>
    <col min="12" max="12" width="8.625" customWidth="1"/>
    <col min="13" max="13" width="41.75" customWidth="1"/>
    <col min="14" max="14" width="7.125" customWidth="1"/>
    <col min="15" max="15" width="7.375" customWidth="1"/>
  </cols>
  <sheetData>
    <row r="2" spans="2:14" ht="16.5" thickBot="1"/>
    <row r="3" spans="2:14" ht="73.5" customHeight="1" thickBot="1">
      <c r="B3" s="210" t="s">
        <v>356</v>
      </c>
      <c r="C3" s="244" t="s">
        <v>357</v>
      </c>
      <c r="D3" s="210" t="s">
        <v>358</v>
      </c>
      <c r="E3" s="244" t="s">
        <v>355</v>
      </c>
      <c r="F3" s="211" t="s">
        <v>274</v>
      </c>
      <c r="G3" s="244" t="s">
        <v>340</v>
      </c>
      <c r="H3" s="244" t="s">
        <v>273</v>
      </c>
      <c r="I3" s="244" t="s">
        <v>339</v>
      </c>
      <c r="J3" s="211" t="s">
        <v>396</v>
      </c>
      <c r="K3" s="244" t="s">
        <v>268</v>
      </c>
      <c r="L3" s="244" t="s">
        <v>265</v>
      </c>
      <c r="M3" s="244" t="s">
        <v>267</v>
      </c>
      <c r="N3" s="212" t="s">
        <v>266</v>
      </c>
    </row>
    <row r="4" spans="2:14">
      <c r="B4" s="240">
        <f>D4*L4</f>
        <v>920.96</v>
      </c>
      <c r="C4" s="240"/>
      <c r="D4" s="213">
        <v>0.32</v>
      </c>
      <c r="E4" s="221"/>
      <c r="F4" s="240">
        <f>G4*L4</f>
        <v>1439</v>
      </c>
      <c r="G4" s="238">
        <v>0.5</v>
      </c>
      <c r="H4" s="240"/>
      <c r="I4" s="236"/>
      <c r="J4" s="214" t="s">
        <v>346</v>
      </c>
      <c r="K4" s="213" t="s">
        <v>95</v>
      </c>
      <c r="L4" s="239">
        <f>N4</f>
        <v>2878</v>
      </c>
      <c r="M4" s="213" t="s">
        <v>270</v>
      </c>
      <c r="N4" s="221">
        <f>'House Details'!F78</f>
        <v>2878</v>
      </c>
    </row>
    <row r="5" spans="2:14">
      <c r="B5" s="240"/>
      <c r="C5" s="240">
        <f>D5*L5+E5*L5</f>
        <v>3280.92</v>
      </c>
      <c r="D5" s="213">
        <v>0.76</v>
      </c>
      <c r="E5" s="221">
        <v>0.38</v>
      </c>
      <c r="F5" s="240"/>
      <c r="G5" s="238"/>
      <c r="H5" s="240">
        <f>I5*L5</f>
        <v>9871.5400000000009</v>
      </c>
      <c r="I5" s="236">
        <v>3.43</v>
      </c>
      <c r="J5" s="304" t="s">
        <v>347</v>
      </c>
      <c r="K5" s="213" t="s">
        <v>95</v>
      </c>
      <c r="L5" s="239">
        <f>N4</f>
        <v>2878</v>
      </c>
      <c r="M5" s="213"/>
      <c r="N5" s="221"/>
    </row>
    <row r="6" spans="2:14">
      <c r="B6" s="240"/>
      <c r="C6" s="241"/>
      <c r="D6" s="213"/>
      <c r="E6" s="221"/>
      <c r="F6" s="240"/>
      <c r="G6" s="238"/>
      <c r="H6" s="240">
        <f>I6*L6</f>
        <v>2380.3199999999997</v>
      </c>
      <c r="I6" s="236">
        <v>0.57999999999999996</v>
      </c>
      <c r="J6" s="304" t="s">
        <v>352</v>
      </c>
      <c r="K6" s="213" t="s">
        <v>269</v>
      </c>
      <c r="L6" s="239">
        <f>CEILING(N4*N6*8,12)</f>
        <v>4104</v>
      </c>
      <c r="M6" s="213" t="s">
        <v>349</v>
      </c>
      <c r="N6" s="238">
        <f>'House Details'!E93</f>
        <v>0.17799687282835303</v>
      </c>
    </row>
    <row r="7" spans="2:14">
      <c r="B7" s="240">
        <f>D7*L7</f>
        <v>5871.5999999999995</v>
      </c>
      <c r="C7" s="241"/>
      <c r="D7" s="213">
        <v>0.7</v>
      </c>
      <c r="E7" s="221"/>
      <c r="F7" s="240">
        <f>G7*L7</f>
        <v>4865.04</v>
      </c>
      <c r="G7" s="238">
        <v>0.57999999999999996</v>
      </c>
      <c r="H7" s="240"/>
      <c r="I7" s="236"/>
      <c r="J7" s="304" t="s">
        <v>338</v>
      </c>
      <c r="K7" s="213" t="s">
        <v>269</v>
      </c>
      <c r="L7" s="239">
        <f>CEILING(N4*N7*8,12)</f>
        <v>8388</v>
      </c>
      <c r="M7" s="213" t="s">
        <v>430</v>
      </c>
      <c r="N7" s="238">
        <f>'House Details'!E94</f>
        <v>0.36414954829742874</v>
      </c>
    </row>
    <row r="8" spans="2:14">
      <c r="B8" s="241">
        <f>D8*L8</f>
        <v>1886.2891666666665</v>
      </c>
      <c r="C8" s="241"/>
      <c r="D8" s="213">
        <v>1.43</v>
      </c>
      <c r="E8" s="9"/>
      <c r="F8" s="240">
        <f>L8*G8</f>
        <v>910.1674999999999</v>
      </c>
      <c r="G8" s="238">
        <v>0.69</v>
      </c>
      <c r="H8" s="240"/>
      <c r="I8" s="237"/>
      <c r="J8" s="54" t="s">
        <v>343</v>
      </c>
      <c r="K8" s="4" t="s">
        <v>344</v>
      </c>
      <c r="L8" s="242">
        <f>N4*(N8/12)</f>
        <v>1319.0833333333333</v>
      </c>
      <c r="M8" s="4" t="s">
        <v>345</v>
      </c>
      <c r="N8" s="9">
        <f>Conduction!G48</f>
        <v>5.5</v>
      </c>
    </row>
    <row r="9" spans="2:14">
      <c r="B9" s="241">
        <f t="shared" ref="B9:B14" si="0">D9*L9</f>
        <v>1467.78</v>
      </c>
      <c r="C9" s="240">
        <f t="shared" ref="C9" si="1">D9*L9</f>
        <v>1467.78</v>
      </c>
      <c r="D9" s="213">
        <v>0.51</v>
      </c>
      <c r="E9" s="9"/>
      <c r="F9" s="240">
        <f>I9*L9</f>
        <v>1266.32</v>
      </c>
      <c r="G9" s="238">
        <v>0.44</v>
      </c>
      <c r="H9" s="240">
        <f t="shared" ref="H9:H15" si="2">I9*L9</f>
        <v>1266.32</v>
      </c>
      <c r="I9" s="237">
        <v>0.44</v>
      </c>
      <c r="J9" s="54" t="s">
        <v>341</v>
      </c>
      <c r="K9" s="4" t="s">
        <v>95</v>
      </c>
      <c r="L9" s="242">
        <f>N4</f>
        <v>2878</v>
      </c>
      <c r="M9" s="4"/>
      <c r="N9" s="4"/>
    </row>
    <row r="10" spans="2:14">
      <c r="B10" s="241">
        <f t="shared" si="0"/>
        <v>604.16</v>
      </c>
      <c r="C10" s="240"/>
      <c r="D10" s="213">
        <v>0.32</v>
      </c>
      <c r="E10" s="221"/>
      <c r="F10" s="240">
        <f>L10*G10</f>
        <v>944</v>
      </c>
      <c r="G10" s="238">
        <v>0.5</v>
      </c>
      <c r="H10" s="240"/>
      <c r="I10" s="236"/>
      <c r="J10" s="214" t="s">
        <v>359</v>
      </c>
      <c r="K10" s="213" t="s">
        <v>95</v>
      </c>
      <c r="L10" s="239">
        <f>N10</f>
        <v>1888</v>
      </c>
      <c r="M10" s="213" t="s">
        <v>271</v>
      </c>
      <c r="N10" s="151">
        <f>'House Details'!G113</f>
        <v>1888</v>
      </c>
    </row>
    <row r="11" spans="2:14">
      <c r="B11" s="241"/>
      <c r="C11" s="240">
        <f>D11*L11+E11*L11</f>
        <v>3322.88</v>
      </c>
      <c r="D11" s="213">
        <v>1.17</v>
      </c>
      <c r="E11" s="221">
        <v>0.59</v>
      </c>
      <c r="F11" s="240"/>
      <c r="G11" s="238"/>
      <c r="H11" s="240">
        <f>I11*L11</f>
        <v>7703.04</v>
      </c>
      <c r="I11" s="236">
        <v>4.08</v>
      </c>
      <c r="J11" s="304" t="s">
        <v>350</v>
      </c>
      <c r="K11" s="213" t="s">
        <v>95</v>
      </c>
      <c r="L11" s="239">
        <f>N10</f>
        <v>1888</v>
      </c>
      <c r="M11" s="213"/>
      <c r="N11" s="221"/>
    </row>
    <row r="12" spans="2:14">
      <c r="B12" s="241"/>
      <c r="C12" s="241"/>
      <c r="D12" s="213"/>
      <c r="E12" s="221"/>
      <c r="F12" s="240"/>
      <c r="G12" s="238"/>
      <c r="H12" s="240">
        <f>I12*L12</f>
        <v>264.47999999999996</v>
      </c>
      <c r="I12" s="236">
        <v>0.57999999999999996</v>
      </c>
      <c r="J12" s="304" t="s">
        <v>351</v>
      </c>
      <c r="K12" s="213" t="s">
        <v>269</v>
      </c>
      <c r="L12" s="239">
        <f>CEILING(N10*N12*8,12)</f>
        <v>456</v>
      </c>
      <c r="M12" s="213" t="s">
        <v>354</v>
      </c>
      <c r="N12" s="221">
        <f>Conduction!I73</f>
        <v>0.03</v>
      </c>
    </row>
    <row r="13" spans="2:14">
      <c r="B13" s="241">
        <f t="shared" si="0"/>
        <v>1859.76</v>
      </c>
      <c r="C13" s="241"/>
      <c r="D13" s="213">
        <v>0.82</v>
      </c>
      <c r="E13" s="221"/>
      <c r="F13" s="240">
        <f>G13*L13</f>
        <v>2608.1999999999998</v>
      </c>
      <c r="G13" s="238">
        <v>1.1499999999999999</v>
      </c>
      <c r="H13" s="240"/>
      <c r="I13" s="236"/>
      <c r="J13" s="304" t="s">
        <v>342</v>
      </c>
      <c r="K13" s="213" t="s">
        <v>269</v>
      </c>
      <c r="L13" s="239">
        <f>CEILING(N10*N13*8,12)</f>
        <v>2268</v>
      </c>
      <c r="M13" s="213" t="s">
        <v>353</v>
      </c>
      <c r="N13" s="221">
        <v>0.15</v>
      </c>
    </row>
    <row r="14" spans="2:14">
      <c r="B14" s="241">
        <f t="shared" si="0"/>
        <v>2081.126666666667</v>
      </c>
      <c r="C14" s="241"/>
      <c r="D14" s="213">
        <v>1.43</v>
      </c>
      <c r="E14" s="9"/>
      <c r="F14" s="240">
        <f>G14*L14</f>
        <v>1004.1800000000001</v>
      </c>
      <c r="G14" s="238">
        <v>0.69</v>
      </c>
      <c r="H14" s="240"/>
      <c r="I14" s="237"/>
      <c r="J14" s="54" t="s">
        <v>360</v>
      </c>
      <c r="K14" s="4" t="s">
        <v>344</v>
      </c>
      <c r="L14" s="242">
        <f>N10*(N14/12)</f>
        <v>1455.3333333333335</v>
      </c>
      <c r="M14" s="4" t="s">
        <v>272</v>
      </c>
      <c r="N14" s="221">
        <f>Conduction!I48</f>
        <v>9.25</v>
      </c>
    </row>
    <row r="15" spans="2:14">
      <c r="B15" s="241">
        <f>D15*L15</f>
        <v>962.88</v>
      </c>
      <c r="C15" s="241">
        <f>D15*L15</f>
        <v>962.88</v>
      </c>
      <c r="D15" s="213">
        <v>0.51</v>
      </c>
      <c r="E15" s="9"/>
      <c r="F15" s="240">
        <f>G15*L15</f>
        <v>830.72</v>
      </c>
      <c r="G15" s="238">
        <v>0.44</v>
      </c>
      <c r="H15" s="240">
        <f t="shared" si="2"/>
        <v>830.72</v>
      </c>
      <c r="I15" s="237">
        <v>0.44</v>
      </c>
      <c r="J15" s="54" t="s">
        <v>348</v>
      </c>
      <c r="K15" s="4" t="s">
        <v>95</v>
      </c>
      <c r="L15" s="242">
        <f>N10</f>
        <v>1888</v>
      </c>
      <c r="M15" s="4"/>
      <c r="N15" s="4"/>
    </row>
    <row r="16" spans="2:14">
      <c r="B16" s="241">
        <f>D16*L16</f>
        <v>929.88</v>
      </c>
      <c r="C16" s="241"/>
      <c r="D16" s="213">
        <v>0.82</v>
      </c>
      <c r="E16" s="9"/>
      <c r="F16" s="240">
        <f>G16*L16</f>
        <v>1304.0999999999999</v>
      </c>
      <c r="G16" s="238">
        <v>1.1499999999999999</v>
      </c>
      <c r="H16" s="240"/>
      <c r="I16" s="237"/>
      <c r="J16" s="54" t="s">
        <v>458</v>
      </c>
      <c r="K16" s="4" t="s">
        <v>269</v>
      </c>
      <c r="L16" s="242">
        <f>L13/2</f>
        <v>1134</v>
      </c>
      <c r="M16" s="4" t="s">
        <v>459</v>
      </c>
      <c r="N16" s="4"/>
    </row>
    <row r="17" spans="2:14">
      <c r="B17" s="241"/>
      <c r="C17" s="241">
        <f>(E17+D17)*L17</f>
        <v>197.4</v>
      </c>
      <c r="D17" s="4">
        <v>4.37</v>
      </c>
      <c r="E17" s="9">
        <v>2.21</v>
      </c>
      <c r="F17" s="241"/>
      <c r="G17" s="150"/>
      <c r="H17" s="241">
        <f>I17*L17</f>
        <v>423</v>
      </c>
      <c r="I17" s="237">
        <v>14.1</v>
      </c>
      <c r="J17" s="54" t="s">
        <v>449</v>
      </c>
      <c r="K17" s="4" t="s">
        <v>269</v>
      </c>
      <c r="L17" s="242">
        <f>N17</f>
        <v>30</v>
      </c>
      <c r="M17" s="4" t="s">
        <v>447</v>
      </c>
      <c r="N17" s="152">
        <v>30</v>
      </c>
    </row>
    <row r="18" spans="2:14">
      <c r="B18" s="241"/>
      <c r="C18" s="241">
        <f>(E18+D18)*L18</f>
        <v>69.42</v>
      </c>
      <c r="D18" s="4">
        <v>1.04</v>
      </c>
      <c r="E18" s="9"/>
      <c r="F18" s="241"/>
      <c r="G18" s="150"/>
      <c r="H18" s="241">
        <f>I18*L18</f>
        <v>170.21249999999998</v>
      </c>
      <c r="I18" s="237">
        <v>2.5499999999999998</v>
      </c>
      <c r="J18" s="54" t="s">
        <v>450</v>
      </c>
      <c r="K18" s="4" t="s">
        <v>269</v>
      </c>
      <c r="L18" s="242">
        <f>N18*('House Details'!H52+'House Details'!H53+'House Details'!H54+'House Details'!H55)</f>
        <v>66.75</v>
      </c>
      <c r="M18" s="4" t="s">
        <v>448</v>
      </c>
      <c r="N18" s="152">
        <v>3</v>
      </c>
    </row>
    <row r="19" spans="2:14" ht="16.5" thickBot="1">
      <c r="B19" s="315">
        <f>SUM(B4:B18)</f>
        <v>16584.435833333333</v>
      </c>
      <c r="C19" s="315">
        <f>SUM(C4:C18)</f>
        <v>9301.2799999999988</v>
      </c>
      <c r="D19" s="316"/>
      <c r="E19" s="317"/>
      <c r="F19" s="318">
        <f>SUM(F4:F15)</f>
        <v>13867.627500000001</v>
      </c>
      <c r="G19" s="319"/>
      <c r="H19" s="318">
        <f>SUM(H4:H15)</f>
        <v>22316.420000000002</v>
      </c>
      <c r="I19" s="10"/>
      <c r="J19" s="7"/>
    </row>
    <row r="20" spans="2:14" ht="16.5" thickBot="1"/>
    <row r="21" spans="2:14">
      <c r="D21" s="306">
        <v>0.65</v>
      </c>
      <c r="E21" s="307"/>
      <c r="F21" s="307"/>
      <c r="G21" s="307"/>
      <c r="H21" s="307"/>
      <c r="I21" s="307">
        <v>0.4</v>
      </c>
      <c r="J21" s="308" t="s">
        <v>436</v>
      </c>
    </row>
    <row r="22" spans="2:14">
      <c r="D22" s="309">
        <v>0.7</v>
      </c>
      <c r="E22" s="305"/>
      <c r="F22" s="305"/>
      <c r="G22" s="305"/>
      <c r="H22" s="305"/>
      <c r="I22" s="305">
        <v>0.57999999999999996</v>
      </c>
      <c r="J22" s="310" t="s">
        <v>437</v>
      </c>
    </row>
    <row r="23" spans="2:14">
      <c r="D23" s="311">
        <v>0.76</v>
      </c>
      <c r="E23" s="305"/>
      <c r="F23" s="305"/>
      <c r="G23" s="305"/>
      <c r="H23" s="305"/>
      <c r="I23" s="305">
        <v>0.87</v>
      </c>
      <c r="J23" s="310" t="s">
        <v>438</v>
      </c>
    </row>
    <row r="24" spans="2:14">
      <c r="D24" s="311">
        <v>0.82</v>
      </c>
      <c r="E24" s="305"/>
      <c r="F24" s="305"/>
      <c r="G24" s="305"/>
      <c r="H24" s="305"/>
      <c r="I24" s="305">
        <v>1.1499999999999999</v>
      </c>
      <c r="J24" s="310" t="s">
        <v>439</v>
      </c>
    </row>
    <row r="25" spans="2:14">
      <c r="D25" s="311">
        <v>0.99</v>
      </c>
      <c r="E25" s="305"/>
      <c r="F25" s="305"/>
      <c r="G25" s="305"/>
      <c r="H25" s="305"/>
      <c r="I25" s="305">
        <v>1.55</v>
      </c>
      <c r="J25" s="310" t="s">
        <v>440</v>
      </c>
    </row>
    <row r="26" spans="2:14">
      <c r="D26" s="311">
        <v>0.63</v>
      </c>
      <c r="E26" s="305">
        <v>0.32</v>
      </c>
      <c r="F26" s="305"/>
      <c r="G26" s="305"/>
      <c r="H26" s="305"/>
      <c r="I26" s="305">
        <v>3.06</v>
      </c>
      <c r="J26" s="310" t="s">
        <v>431</v>
      </c>
    </row>
    <row r="27" spans="2:14">
      <c r="D27" s="311">
        <v>0.76</v>
      </c>
      <c r="E27" s="305">
        <v>0.38</v>
      </c>
      <c r="F27" s="305"/>
      <c r="G27" s="305"/>
      <c r="H27" s="305"/>
      <c r="I27" s="305">
        <v>3.43</v>
      </c>
      <c r="J27" s="310" t="s">
        <v>432</v>
      </c>
    </row>
    <row r="28" spans="2:14">
      <c r="D28" s="311">
        <v>0.92</v>
      </c>
      <c r="E28" s="305">
        <v>0.47</v>
      </c>
      <c r="F28" s="305"/>
      <c r="G28" s="305"/>
      <c r="H28" s="305"/>
      <c r="I28" s="305">
        <v>3.73</v>
      </c>
      <c r="J28" s="310" t="s">
        <v>433</v>
      </c>
    </row>
    <row r="29" spans="2:14">
      <c r="D29" s="311">
        <v>1.17</v>
      </c>
      <c r="E29" s="305">
        <v>0.59</v>
      </c>
      <c r="F29" s="305"/>
      <c r="G29" s="305"/>
      <c r="H29" s="305"/>
      <c r="I29" s="305">
        <v>4.08</v>
      </c>
      <c r="J29" s="310" t="s">
        <v>434</v>
      </c>
    </row>
    <row r="30" spans="2:14" ht="16.5" thickBot="1">
      <c r="D30" s="312">
        <v>1.45</v>
      </c>
      <c r="E30" s="313">
        <v>0.75</v>
      </c>
      <c r="F30" s="313"/>
      <c r="G30" s="313"/>
      <c r="H30" s="313"/>
      <c r="I30" s="313">
        <v>4.41</v>
      </c>
      <c r="J30" s="314" t="s">
        <v>435</v>
      </c>
    </row>
    <row r="31" spans="2:14" ht="16.5" thickBot="1"/>
    <row r="32" spans="2:14">
      <c r="E32" s="215" t="s">
        <v>217</v>
      </c>
      <c r="F32" s="216">
        <f>H19+C19</f>
        <v>31617.7</v>
      </c>
      <c r="J32" s="303"/>
    </row>
    <row r="33" spans="5:8">
      <c r="E33" s="217" t="s">
        <v>275</v>
      </c>
      <c r="F33" s="218">
        <f>F19+B19</f>
        <v>30452.063333333332</v>
      </c>
      <c r="G33" s="79" t="s">
        <v>112</v>
      </c>
      <c r="H33" t="s">
        <v>453</v>
      </c>
    </row>
    <row r="34" spans="5:8">
      <c r="E34" s="217" t="s">
        <v>276</v>
      </c>
      <c r="F34" s="218">
        <f>F32-F33</f>
        <v>1165.636666666669</v>
      </c>
      <c r="G34" s="79" t="s">
        <v>113</v>
      </c>
      <c r="H34" t="s">
        <v>451</v>
      </c>
    </row>
    <row r="35" spans="5:8" ht="16.5" thickBot="1">
      <c r="E35" s="219" t="s">
        <v>277</v>
      </c>
      <c r="F35" s="222">
        <f>F34/((F32+F33)/2)</f>
        <v>3.7558920932462679E-2</v>
      </c>
      <c r="H35" t="s">
        <v>452</v>
      </c>
    </row>
    <row r="36" spans="5:8">
      <c r="G36" s="79" t="s">
        <v>454</v>
      </c>
      <c r="H36" t="s">
        <v>455</v>
      </c>
    </row>
    <row r="37" spans="5:8">
      <c r="G37" s="326" t="s">
        <v>456</v>
      </c>
      <c r="H37" t="s">
        <v>457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dimension ref="C2:W104"/>
  <sheetViews>
    <sheetView topLeftCell="A75" workbookViewId="0">
      <selection activeCell="K66" sqref="K66"/>
    </sheetView>
  </sheetViews>
  <sheetFormatPr defaultColWidth="11" defaultRowHeight="15.75"/>
  <cols>
    <col min="1" max="1" width="3.625" customWidth="1"/>
    <col min="2" max="2" width="3.5" customWidth="1"/>
    <col min="3" max="3" width="3.875" customWidth="1"/>
    <col min="4" max="4" width="24.625" customWidth="1"/>
    <col min="5" max="5" width="16.375" customWidth="1"/>
    <col min="6" max="6" width="15.375" customWidth="1"/>
    <col min="7" max="7" width="13.375" customWidth="1"/>
    <col min="8" max="8" width="12.75" customWidth="1"/>
    <col min="9" max="9" width="9.625" customWidth="1"/>
    <col min="10" max="10" width="17.375" customWidth="1"/>
    <col min="11" max="11" width="16.625" bestFit="1" customWidth="1"/>
    <col min="12" max="12" width="11.125" customWidth="1"/>
    <col min="13" max="13" width="12.75" customWidth="1"/>
    <col min="14" max="14" width="17.75" customWidth="1"/>
    <col min="16" max="16" width="14.375" customWidth="1"/>
    <col min="17" max="17" width="7.25" customWidth="1"/>
    <col min="18" max="18" width="13.125" customWidth="1"/>
    <col min="19" max="19" width="9" customWidth="1"/>
    <col min="20" max="20" width="17.25" customWidth="1"/>
    <col min="21" max="21" width="9" customWidth="1"/>
    <col min="23" max="23" width="5.375" customWidth="1"/>
  </cols>
  <sheetData>
    <row r="2" spans="4:14" ht="16.5" thickBot="1">
      <c r="N2" s="10"/>
    </row>
    <row r="3" spans="4:14" ht="21.75" thickBot="1">
      <c r="D3" s="91" t="s">
        <v>156</v>
      </c>
      <c r="E3" s="92"/>
      <c r="F3" s="92"/>
      <c r="G3" s="92"/>
      <c r="H3" s="92"/>
      <c r="I3" s="92"/>
      <c r="J3" s="92"/>
      <c r="K3" s="92"/>
      <c r="L3" s="92"/>
      <c r="M3" s="103"/>
      <c r="N3" s="10"/>
    </row>
    <row r="4" spans="4:14" ht="16.5" thickBot="1">
      <c r="D4" s="195" t="s">
        <v>157</v>
      </c>
      <c r="E4" s="196" t="s">
        <v>158</v>
      </c>
      <c r="F4" s="197"/>
      <c r="G4" s="197"/>
      <c r="H4" s="197"/>
      <c r="I4" s="197"/>
      <c r="J4" s="197"/>
      <c r="K4" s="197"/>
      <c r="L4" s="197"/>
      <c r="M4" s="198"/>
      <c r="N4" s="10"/>
    </row>
    <row r="5" spans="4:14">
      <c r="D5" s="11" t="s">
        <v>160</v>
      </c>
      <c r="E5" s="7"/>
      <c r="F5" s="7"/>
      <c r="G5" s="7"/>
      <c r="H5" s="7"/>
      <c r="I5" s="7"/>
      <c r="J5" s="7"/>
      <c r="K5" s="7"/>
      <c r="L5" s="7"/>
      <c r="M5" s="12"/>
      <c r="N5" s="10"/>
    </row>
    <row r="6" spans="4:14" ht="31.5">
      <c r="D6" s="89" t="s">
        <v>9</v>
      </c>
      <c r="E6" s="23" t="s">
        <v>165</v>
      </c>
      <c r="F6" s="23" t="s">
        <v>11</v>
      </c>
      <c r="G6" s="74" t="s">
        <v>90</v>
      </c>
      <c r="H6" s="159">
        <v>9.25</v>
      </c>
      <c r="I6" s="10"/>
      <c r="J6" s="7"/>
      <c r="K6" s="7"/>
      <c r="L6" s="7"/>
      <c r="M6" s="12"/>
      <c r="N6" s="10"/>
    </row>
    <row r="7" spans="4:14">
      <c r="D7" s="89" t="s">
        <v>12</v>
      </c>
      <c r="E7" s="4">
        <v>0.68</v>
      </c>
      <c r="F7" s="5">
        <v>0.68</v>
      </c>
      <c r="G7" s="75" t="s">
        <v>233</v>
      </c>
      <c r="H7" s="159">
        <v>1.25</v>
      </c>
      <c r="I7" s="82"/>
      <c r="J7" s="7"/>
      <c r="K7" s="7"/>
      <c r="L7" s="7"/>
      <c r="M7" s="12"/>
      <c r="N7" s="10"/>
    </row>
    <row r="8" spans="4:14">
      <c r="D8" s="89" t="s">
        <v>162</v>
      </c>
      <c r="E8" s="4">
        <v>0.75</v>
      </c>
      <c r="F8" s="5">
        <v>0.75</v>
      </c>
      <c r="G8" s="75" t="s">
        <v>232</v>
      </c>
      <c r="H8" s="159">
        <v>3.5</v>
      </c>
      <c r="I8" s="82"/>
      <c r="J8" s="7"/>
      <c r="K8" s="7"/>
      <c r="L8" s="7"/>
      <c r="M8" s="12"/>
      <c r="N8" s="10"/>
    </row>
    <row r="9" spans="4:14">
      <c r="D9" s="89" t="s">
        <v>161</v>
      </c>
      <c r="E9" s="4">
        <v>0.8</v>
      </c>
      <c r="F9" s="5">
        <v>0.8</v>
      </c>
      <c r="G9" s="81" t="s">
        <v>171</v>
      </c>
      <c r="H9" s="159">
        <v>0.2</v>
      </c>
      <c r="I9" s="82"/>
      <c r="J9" s="7"/>
      <c r="K9" s="7"/>
      <c r="L9" s="7"/>
      <c r="M9" s="12"/>
      <c r="N9" s="10"/>
    </row>
    <row r="10" spans="4:14">
      <c r="D10" s="89" t="s">
        <v>14</v>
      </c>
      <c r="E10" s="4">
        <f>H8*H6</f>
        <v>32.375</v>
      </c>
      <c r="F10" s="4">
        <f>H7*H6</f>
        <v>11.5625</v>
      </c>
      <c r="G10" s="7"/>
      <c r="H10" s="7"/>
      <c r="I10" s="82"/>
      <c r="J10" s="7"/>
      <c r="K10" s="7"/>
      <c r="L10" s="7"/>
      <c r="M10" s="12"/>
      <c r="N10" s="10"/>
    </row>
    <row r="11" spans="4:14">
      <c r="D11" s="89" t="s">
        <v>15</v>
      </c>
      <c r="E11" s="4">
        <v>0.8</v>
      </c>
      <c r="F11" s="5">
        <v>0.8</v>
      </c>
      <c r="G11" s="7"/>
      <c r="H11" s="7"/>
      <c r="I11" s="7"/>
      <c r="J11" s="7"/>
      <c r="K11" s="7"/>
      <c r="L11" s="7"/>
      <c r="M11" s="12"/>
      <c r="N11" s="10"/>
    </row>
    <row r="12" spans="4:14">
      <c r="D12" s="89" t="s">
        <v>12</v>
      </c>
      <c r="E12" s="4">
        <v>0.68</v>
      </c>
      <c r="F12" s="5">
        <v>0.68</v>
      </c>
      <c r="G12" s="7"/>
      <c r="H12" s="7"/>
      <c r="I12" s="7"/>
      <c r="J12" s="7"/>
      <c r="K12" s="7"/>
      <c r="L12" s="7"/>
      <c r="M12" s="12"/>
      <c r="N12" s="10"/>
    </row>
    <row r="13" spans="4:14">
      <c r="D13" s="93" t="s">
        <v>18</v>
      </c>
      <c r="E13" s="84">
        <f>SUM(E7:E12)</f>
        <v>36.085000000000001</v>
      </c>
      <c r="F13" s="84">
        <f>SUM(F7:F12)</f>
        <v>15.272500000000001</v>
      </c>
      <c r="G13" s="7"/>
      <c r="H13" s="7"/>
      <c r="I13" s="7"/>
      <c r="J13" s="7"/>
      <c r="K13" s="7"/>
      <c r="L13" s="7"/>
      <c r="M13" s="12"/>
      <c r="N13" s="10"/>
    </row>
    <row r="14" spans="4:14" ht="31.5">
      <c r="D14" s="94"/>
      <c r="E14" s="174" t="s">
        <v>164</v>
      </c>
      <c r="F14" s="86">
        <f>(E13*(1-$H$9))+(F13*$H$9)</f>
        <v>31.922500000000003</v>
      </c>
      <c r="G14" s="174" t="s">
        <v>163</v>
      </c>
      <c r="H14" s="95">
        <f>1/F14</f>
        <v>3.132586733495183E-2</v>
      </c>
      <c r="I14" s="7"/>
      <c r="J14" s="7"/>
      <c r="K14" s="7"/>
      <c r="L14" s="7"/>
      <c r="M14" s="12"/>
      <c r="N14" s="10"/>
    </row>
    <row r="15" spans="4:14">
      <c r="D15" s="11" t="s">
        <v>159</v>
      </c>
      <c r="E15" s="7">
        <f>H14*'House Details'!F66*('House Details'!C5-'House Details'!C7)</f>
        <v>0</v>
      </c>
      <c r="F15" s="7" t="s">
        <v>153</v>
      </c>
      <c r="G15" s="10"/>
      <c r="H15" s="7"/>
      <c r="I15" s="7"/>
      <c r="J15" s="7"/>
      <c r="K15" s="7"/>
      <c r="L15" s="7"/>
      <c r="M15" s="12"/>
      <c r="N15" s="10"/>
    </row>
    <row r="16" spans="4:14" ht="16.5" thickBot="1">
      <c r="D16" s="96" t="s">
        <v>166</v>
      </c>
      <c r="E16" s="97">
        <f>'House Details'!C27*E15</f>
        <v>0</v>
      </c>
      <c r="F16" s="13" t="s">
        <v>170</v>
      </c>
      <c r="G16" s="7"/>
      <c r="H16" s="7"/>
      <c r="I16" s="7"/>
      <c r="J16" s="7"/>
      <c r="K16" s="7"/>
      <c r="L16" s="7"/>
      <c r="M16" s="12"/>
      <c r="N16" s="10"/>
    </row>
    <row r="17" spans="4:14" ht="16.5" thickBot="1">
      <c r="D17" s="199" t="s">
        <v>167</v>
      </c>
      <c r="E17" s="200" t="s">
        <v>154</v>
      </c>
      <c r="F17" s="197"/>
      <c r="G17" s="197"/>
      <c r="H17" s="197"/>
      <c r="I17" s="197"/>
      <c r="J17" s="197"/>
      <c r="K17" s="197"/>
      <c r="L17" s="197"/>
      <c r="M17" s="198"/>
      <c r="N17" s="10"/>
    </row>
    <row r="18" spans="4:14" ht="18.75">
      <c r="D18" s="94" t="s">
        <v>234</v>
      </c>
      <c r="E18" s="160" t="s">
        <v>235</v>
      </c>
      <c r="F18" s="7"/>
      <c r="G18" s="346" t="s">
        <v>237</v>
      </c>
      <c r="H18" s="346"/>
      <c r="I18" s="203">
        <v>0.73</v>
      </c>
      <c r="J18" s="202" t="s">
        <v>250</v>
      </c>
      <c r="K18" s="202"/>
      <c r="L18" s="203">
        <v>0.36</v>
      </c>
      <c r="M18" s="12"/>
      <c r="N18" s="10"/>
    </row>
    <row r="19" spans="4:14">
      <c r="D19" s="96"/>
      <c r="E19" s="160" t="s">
        <v>236</v>
      </c>
      <c r="F19" s="7"/>
      <c r="G19" s="347" t="s">
        <v>238</v>
      </c>
      <c r="H19" s="347"/>
      <c r="I19" s="204">
        <v>0.7</v>
      </c>
      <c r="J19" s="201" t="s">
        <v>244</v>
      </c>
      <c r="K19" s="201"/>
      <c r="L19" s="205">
        <v>0.57999999999999996</v>
      </c>
      <c r="M19" s="12"/>
      <c r="N19" s="10"/>
    </row>
    <row r="20" spans="4:14">
      <c r="D20" s="96"/>
      <c r="E20" s="160"/>
      <c r="F20" s="7"/>
      <c r="G20" s="347" t="s">
        <v>239</v>
      </c>
      <c r="H20" s="347"/>
      <c r="I20" s="204">
        <v>0.7</v>
      </c>
      <c r="J20" s="201" t="s">
        <v>245</v>
      </c>
      <c r="K20" s="201"/>
      <c r="L20" s="205">
        <v>0.54</v>
      </c>
      <c r="M20" s="12"/>
      <c r="N20" s="10"/>
    </row>
    <row r="21" spans="4:14">
      <c r="D21" s="96"/>
      <c r="E21" s="160"/>
      <c r="F21" s="7"/>
      <c r="G21" s="347" t="s">
        <v>240</v>
      </c>
      <c r="H21" s="347"/>
      <c r="I21" s="205">
        <v>0.69</v>
      </c>
      <c r="J21" s="347" t="s">
        <v>246</v>
      </c>
      <c r="K21" s="347"/>
      <c r="L21" s="205">
        <v>0.52</v>
      </c>
      <c r="M21" s="12"/>
      <c r="N21" s="10"/>
    </row>
    <row r="22" spans="4:14">
      <c r="D22" s="96"/>
      <c r="E22" s="18" t="s">
        <v>387</v>
      </c>
      <c r="F22" s="7"/>
      <c r="G22" s="347" t="s">
        <v>241</v>
      </c>
      <c r="H22" s="347"/>
      <c r="I22" s="205">
        <v>0.67</v>
      </c>
      <c r="J22" s="201" t="s">
        <v>247</v>
      </c>
      <c r="K22" s="201"/>
      <c r="L22" s="205">
        <v>0.54</v>
      </c>
      <c r="M22" s="12"/>
      <c r="N22" s="10"/>
    </row>
    <row r="23" spans="4:14">
      <c r="D23" s="11" t="s">
        <v>216</v>
      </c>
      <c r="E23" s="161">
        <v>0.36</v>
      </c>
      <c r="F23" s="7"/>
      <c r="G23" s="347" t="s">
        <v>242</v>
      </c>
      <c r="H23" s="347"/>
      <c r="I23" s="205">
        <v>0.64</v>
      </c>
      <c r="J23" s="347" t="s">
        <v>248</v>
      </c>
      <c r="K23" s="347"/>
      <c r="L23" s="205">
        <v>0.48</v>
      </c>
      <c r="M23" s="12"/>
      <c r="N23" s="10"/>
    </row>
    <row r="24" spans="4:14" ht="16.5" thickBot="1">
      <c r="D24" s="96" t="s">
        <v>166</v>
      </c>
      <c r="E24" s="97">
        <f>E23*'House Details'!F68*('House Details'!C5-'House Details'!C7)*'House Details'!C27</f>
        <v>15365375.999999998</v>
      </c>
      <c r="F24" s="13" t="s">
        <v>170</v>
      </c>
      <c r="G24" s="341" t="s">
        <v>243</v>
      </c>
      <c r="H24" s="341"/>
      <c r="I24" s="206">
        <v>0.63</v>
      </c>
      <c r="J24" s="341" t="s">
        <v>249</v>
      </c>
      <c r="K24" s="341"/>
      <c r="L24" s="206">
        <v>0.45</v>
      </c>
      <c r="M24" s="12"/>
      <c r="N24" s="10"/>
    </row>
    <row r="25" spans="4:14" ht="16.5" thickBot="1">
      <c r="D25" s="199" t="s">
        <v>168</v>
      </c>
      <c r="E25" s="200" t="s">
        <v>169</v>
      </c>
      <c r="F25" s="197"/>
      <c r="G25" s="197"/>
      <c r="H25" s="197"/>
      <c r="I25" s="197"/>
      <c r="J25" s="197"/>
      <c r="K25" s="197"/>
      <c r="L25" s="197"/>
      <c r="M25" s="198"/>
      <c r="N25" s="10"/>
    </row>
    <row r="26" spans="4:14">
      <c r="D26" s="164" t="s">
        <v>191</v>
      </c>
      <c r="E26" s="162"/>
      <c r="F26" s="162"/>
      <c r="G26" s="162"/>
      <c r="H26" s="162"/>
      <c r="I26" s="162"/>
      <c r="J26" s="162" t="s">
        <v>192</v>
      </c>
      <c r="K26" s="162"/>
      <c r="L26" s="162"/>
      <c r="M26" s="165"/>
      <c r="N26" s="10"/>
    </row>
    <row r="27" spans="4:14" ht="47.25">
      <c r="D27" s="89" t="s">
        <v>9</v>
      </c>
      <c r="E27" s="23" t="s">
        <v>195</v>
      </c>
      <c r="F27" s="74" t="s">
        <v>89</v>
      </c>
      <c r="G27" s="159">
        <v>8</v>
      </c>
      <c r="H27" s="7"/>
      <c r="I27" s="7"/>
      <c r="J27" s="3" t="s">
        <v>9</v>
      </c>
      <c r="K27" s="23" t="s">
        <v>194</v>
      </c>
      <c r="L27" s="74" t="s">
        <v>193</v>
      </c>
      <c r="M27" s="194">
        <v>4</v>
      </c>
      <c r="N27" s="10"/>
    </row>
    <row r="28" spans="4:14">
      <c r="D28" s="89" t="s">
        <v>12</v>
      </c>
      <c r="E28" s="4">
        <v>0.68</v>
      </c>
      <c r="F28" s="75" t="s">
        <v>259</v>
      </c>
      <c r="G28" s="233">
        <v>0.33</v>
      </c>
      <c r="H28" s="7"/>
      <c r="I28" s="7"/>
      <c r="J28" s="3" t="s">
        <v>12</v>
      </c>
      <c r="K28" s="4">
        <v>0.68</v>
      </c>
      <c r="L28" s="75" t="s">
        <v>174</v>
      </c>
      <c r="M28" s="248">
        <v>0.33</v>
      </c>
      <c r="N28" s="7"/>
    </row>
    <row r="29" spans="4:14" ht="31.5" customHeight="1">
      <c r="D29" s="89" t="s">
        <v>172</v>
      </c>
      <c r="E29" s="4">
        <f>G29*G30</f>
        <v>13.299999999999999</v>
      </c>
      <c r="F29" s="163" t="s">
        <v>263</v>
      </c>
      <c r="G29" s="159">
        <v>3.5</v>
      </c>
      <c r="H29" s="7"/>
      <c r="I29" s="7"/>
      <c r="J29" s="23" t="s">
        <v>172</v>
      </c>
      <c r="K29" s="4">
        <f>M29*M30</f>
        <v>0</v>
      </c>
      <c r="L29" s="163" t="s">
        <v>251</v>
      </c>
      <c r="M29" s="194">
        <v>0</v>
      </c>
      <c r="N29" s="7"/>
    </row>
    <row r="30" spans="4:14">
      <c r="D30" s="89" t="s">
        <v>173</v>
      </c>
      <c r="E30" s="4">
        <f>G28*G27</f>
        <v>2.64</v>
      </c>
      <c r="F30" s="81" t="s">
        <v>252</v>
      </c>
      <c r="G30" s="159">
        <v>3.8</v>
      </c>
      <c r="H30" s="7"/>
      <c r="I30" s="7"/>
      <c r="J30" s="3" t="s">
        <v>173</v>
      </c>
      <c r="K30" s="4">
        <f>M28*M27</f>
        <v>1.32</v>
      </c>
      <c r="L30" s="81" t="s">
        <v>252</v>
      </c>
      <c r="M30" s="194">
        <v>3.85</v>
      </c>
      <c r="N30" s="7"/>
    </row>
    <row r="31" spans="4:14" ht="30" customHeight="1">
      <c r="D31" s="89" t="s">
        <v>175</v>
      </c>
      <c r="E31" s="4">
        <f>G31*G32</f>
        <v>0</v>
      </c>
      <c r="F31" s="163" t="s">
        <v>264</v>
      </c>
      <c r="G31" s="159">
        <v>0</v>
      </c>
      <c r="H31" s="7"/>
      <c r="I31" s="7"/>
      <c r="J31" s="23" t="s">
        <v>175</v>
      </c>
      <c r="K31" s="4">
        <f>M31*M32</f>
        <v>7.7</v>
      </c>
      <c r="L31" s="163" t="s">
        <v>253</v>
      </c>
      <c r="M31" s="194">
        <v>2</v>
      </c>
      <c r="N31" s="7"/>
    </row>
    <row r="32" spans="4:14" ht="18" customHeight="1">
      <c r="D32" s="89" t="s">
        <v>17</v>
      </c>
      <c r="E32" s="4">
        <v>0.17</v>
      </c>
      <c r="F32" s="81" t="s">
        <v>252</v>
      </c>
      <c r="G32" s="159">
        <v>3.8</v>
      </c>
      <c r="H32" s="7"/>
      <c r="I32" s="7"/>
      <c r="J32" s="3" t="s">
        <v>17</v>
      </c>
      <c r="K32" s="4">
        <v>0.17</v>
      </c>
      <c r="L32" s="81" t="s">
        <v>252</v>
      </c>
      <c r="M32" s="194">
        <v>3.85</v>
      </c>
      <c r="N32" s="7"/>
    </row>
    <row r="33" spans="3:14">
      <c r="D33" s="93" t="s">
        <v>18</v>
      </c>
      <c r="E33" s="84">
        <f>SUM(E28:E32)</f>
        <v>16.79</v>
      </c>
      <c r="F33" s="13"/>
      <c r="G33" s="7"/>
      <c r="H33" s="7"/>
      <c r="I33" s="7"/>
      <c r="J33" s="84" t="s">
        <v>18</v>
      </c>
      <c r="K33" s="84">
        <f>SUM(K28:K32)</f>
        <v>9.8699999999999992</v>
      </c>
      <c r="L33" s="13"/>
      <c r="M33" s="12"/>
      <c r="N33" s="7"/>
    </row>
    <row r="34" spans="3:14">
      <c r="D34" s="94" t="s">
        <v>176</v>
      </c>
      <c r="E34" s="95">
        <f>1/E33</f>
        <v>5.9559261465157838E-2</v>
      </c>
      <c r="F34" s="62"/>
      <c r="G34" s="7"/>
      <c r="H34" s="7"/>
      <c r="I34" s="7"/>
      <c r="J34" s="85" t="s">
        <v>176</v>
      </c>
      <c r="K34" s="95">
        <f>1/K33</f>
        <v>0.10131712259371835</v>
      </c>
      <c r="L34" s="62"/>
      <c r="M34" s="12"/>
      <c r="N34" s="7"/>
    </row>
    <row r="35" spans="3:14" ht="18.75">
      <c r="D35" s="11" t="s">
        <v>197</v>
      </c>
      <c r="E35" s="10">
        <v>0.8</v>
      </c>
      <c r="F35" s="7"/>
      <c r="G35" s="7"/>
      <c r="H35" s="7"/>
      <c r="I35" s="7"/>
      <c r="J35" s="7"/>
      <c r="K35" s="7"/>
      <c r="L35" s="7"/>
      <c r="M35" s="12"/>
      <c r="N35" s="7"/>
    </row>
    <row r="36" spans="3:14">
      <c r="D36" s="11" t="s">
        <v>196</v>
      </c>
      <c r="E36" s="97">
        <f>'House Details'!H69*E34*('House Details'!C5-'House Details'!C7)</f>
        <v>588.44550327575951</v>
      </c>
      <c r="F36" s="7" t="s">
        <v>153</v>
      </c>
      <c r="G36" s="7"/>
      <c r="H36" s="7"/>
      <c r="I36" s="7"/>
      <c r="J36" s="7"/>
      <c r="K36" s="7"/>
      <c r="L36" s="7"/>
      <c r="M36" s="12"/>
      <c r="N36" s="7"/>
    </row>
    <row r="37" spans="3:14">
      <c r="D37" s="157" t="s">
        <v>254</v>
      </c>
      <c r="E37" s="7">
        <f>'House Details'!H70/'House Details'!F70</f>
        <v>152</v>
      </c>
      <c r="F37" s="7" t="s">
        <v>95</v>
      </c>
      <c r="G37" s="7"/>
      <c r="H37" s="7"/>
      <c r="I37" s="7"/>
      <c r="J37" s="7"/>
      <c r="K37" s="7"/>
      <c r="L37" s="7"/>
      <c r="M37" s="12"/>
      <c r="N37" s="7"/>
    </row>
    <row r="38" spans="3:14" ht="18.75" hidden="1">
      <c r="D38" s="11" t="s">
        <v>200</v>
      </c>
      <c r="E38" s="10">
        <v>0</v>
      </c>
      <c r="F38" s="7">
        <v>1</v>
      </c>
      <c r="G38" s="7">
        <v>2</v>
      </c>
      <c r="H38" s="7">
        <v>3</v>
      </c>
      <c r="I38" s="7">
        <v>4</v>
      </c>
      <c r="J38" s="7">
        <v>5</v>
      </c>
      <c r="K38" s="7">
        <v>6</v>
      </c>
      <c r="L38" s="7">
        <v>7</v>
      </c>
      <c r="M38" s="12">
        <v>8</v>
      </c>
      <c r="N38" s="7"/>
    </row>
    <row r="39" spans="3:14" ht="34.5">
      <c r="D39" s="175" t="s">
        <v>255</v>
      </c>
      <c r="E39" s="10">
        <v>1</v>
      </c>
      <c r="F39" s="7">
        <v>2</v>
      </c>
      <c r="G39" s="7">
        <v>3</v>
      </c>
      <c r="H39" s="7">
        <v>4</v>
      </c>
      <c r="I39" s="7">
        <v>5</v>
      </c>
      <c r="J39" s="7">
        <v>6</v>
      </c>
      <c r="K39" s="7">
        <v>7</v>
      </c>
      <c r="L39" s="7">
        <v>8</v>
      </c>
      <c r="M39" s="12">
        <v>9</v>
      </c>
      <c r="N39" s="7"/>
    </row>
    <row r="40" spans="3:14" ht="18.75">
      <c r="D40" s="11" t="s">
        <v>198</v>
      </c>
      <c r="E40" s="98">
        <f t="shared" ref="E40:M40" si="0">ABS((2*$E$35)/(PI()*(Z1_-Z2_))*(LN(Z2_+((2*$E$35*$E$33)/PI()))-LN(Z1_+((2*$E$35*$E$33)/PI()))))</f>
        <v>5.6326429519773437E-2</v>
      </c>
      <c r="F40" s="98">
        <f t="shared" si="0"/>
        <v>5.0712631536992785E-2</v>
      </c>
      <c r="G40" s="98">
        <f t="shared" si="0"/>
        <v>4.611711376937036E-2</v>
      </c>
      <c r="H40" s="98">
        <f t="shared" si="0"/>
        <v>4.2285711693769691E-2</v>
      </c>
      <c r="I40" s="98">
        <f t="shared" si="0"/>
        <v>3.9042388324734612E-2</v>
      </c>
      <c r="J40" s="98">
        <f t="shared" si="0"/>
        <v>3.6261345318204331E-2</v>
      </c>
      <c r="K40" s="98">
        <f t="shared" si="0"/>
        <v>3.3850288548813431E-2</v>
      </c>
      <c r="L40" s="98">
        <f t="shared" si="0"/>
        <v>3.1739966965603293E-2</v>
      </c>
      <c r="M40" s="99">
        <f t="shared" si="0"/>
        <v>2.9877401704660134E-2</v>
      </c>
      <c r="N40" s="7"/>
    </row>
    <row r="41" spans="3:14" ht="17.25" customHeight="1">
      <c r="D41" s="11" t="s">
        <v>390</v>
      </c>
      <c r="E41" s="207">
        <f>E40*$E$37*('House Details'!$C$5-'House Details'!$C$26)</f>
        <v>154.10911116610012</v>
      </c>
      <c r="F41" s="207">
        <f>F40*$E$37*('House Details'!$C$5-'House Details'!$C$26)</f>
        <v>138.74975988521226</v>
      </c>
      <c r="G41" s="207">
        <f>G40*$E$37*('House Details'!$C$5-'House Details'!$C$26)</f>
        <v>126.17642327299731</v>
      </c>
      <c r="H41" s="207">
        <f>H40*$E$37*('House Details'!$C$5-'House Details'!$C$26)</f>
        <v>115.69370719415387</v>
      </c>
      <c r="I41" s="207">
        <f>I40*$E$37*('House Details'!$C$5-'House Details'!$C$26)</f>
        <v>106.8199744564739</v>
      </c>
      <c r="J41" s="207">
        <f>J40*$E$37*('House Details'!$C$5-'House Details'!$C$26)</f>
        <v>99.211040790607044</v>
      </c>
      <c r="K41" s="208">
        <f>K40*$E$37*('House Details'!$C$5-'House Details'!$C$26)</f>
        <v>92.614389469553558</v>
      </c>
      <c r="L41" s="207">
        <f>L40*$E$37*('House Details'!$C$5-'House Details'!$C$26)</f>
        <v>86.840549617890616</v>
      </c>
      <c r="M41" s="209">
        <f>M40*$E$37*('House Details'!$C$5-'House Details'!$C$26)</f>
        <v>81.744571063950133</v>
      </c>
      <c r="N41" s="7"/>
    </row>
    <row r="42" spans="3:14" ht="18.75">
      <c r="D42" s="11" t="s">
        <v>199</v>
      </c>
      <c r="E42" s="98">
        <f>ABS((2*$E$35)/(PI()*('House Details'!$F$71))*(LN('House Details'!$F$71/2+'House Details'!$F$70/2+($E$35*$K$33)/PI())-LN(($E$35*$K$33)/PI())))</f>
        <v>5.5813862762120726E-2</v>
      </c>
      <c r="F42" s="7"/>
      <c r="G42" s="7"/>
      <c r="H42" s="7"/>
      <c r="I42" s="7"/>
      <c r="J42" s="7"/>
      <c r="K42" s="7"/>
      <c r="L42" s="7"/>
      <c r="M42" s="12"/>
      <c r="N42" s="7"/>
    </row>
    <row r="43" spans="3:14">
      <c r="D43" s="11" t="s">
        <v>389</v>
      </c>
      <c r="E43" s="97">
        <f>E42*'House Details'!$F$67*('House Details'!$C$5-'House Details'!$C$26)</f>
        <v>1350.2489679412247</v>
      </c>
      <c r="F43" s="7" t="s">
        <v>153</v>
      </c>
      <c r="G43" s="7"/>
      <c r="H43" s="7"/>
      <c r="I43" s="7"/>
      <c r="J43" s="7"/>
      <c r="K43" s="7"/>
      <c r="L43" s="7"/>
      <c r="M43" s="12"/>
      <c r="N43" s="7"/>
    </row>
    <row r="44" spans="3:14" ht="16.5" thickBot="1">
      <c r="C44" s="10"/>
      <c r="D44" s="100" t="s">
        <v>256</v>
      </c>
      <c r="E44" s="101">
        <f>E36+E43+K41</f>
        <v>2031.3088606865379</v>
      </c>
      <c r="F44" s="16" t="s">
        <v>153</v>
      </c>
      <c r="G44" s="15"/>
      <c r="H44" s="15"/>
      <c r="I44" s="15"/>
      <c r="J44" s="15"/>
      <c r="K44" s="15"/>
      <c r="L44" s="15"/>
      <c r="M44" s="102"/>
      <c r="N44" s="7"/>
    </row>
    <row r="45" spans="3:14" ht="16.5" thickBot="1">
      <c r="E45" s="1"/>
      <c r="F45" s="80"/>
    </row>
    <row r="46" spans="3:14" ht="19.5" thickBot="1">
      <c r="D46" s="342" t="s">
        <v>468</v>
      </c>
      <c r="E46" s="343"/>
      <c r="F46" s="343"/>
      <c r="G46" s="343"/>
      <c r="H46" s="343"/>
      <c r="I46" s="343"/>
      <c r="J46" s="343"/>
      <c r="K46" s="343"/>
      <c r="L46" s="343"/>
      <c r="M46" s="264"/>
      <c r="N46" s="265"/>
    </row>
    <row r="47" spans="3:14" ht="16.5" thickBot="1">
      <c r="D47" s="267" t="s">
        <v>189</v>
      </c>
      <c r="E47" s="268"/>
      <c r="F47" s="268"/>
      <c r="G47" s="269"/>
      <c r="H47" s="268"/>
      <c r="I47" s="268"/>
      <c r="J47" s="269" t="s">
        <v>190</v>
      </c>
      <c r="K47" s="268"/>
      <c r="L47" s="268"/>
      <c r="M47" s="197"/>
      <c r="N47" s="198"/>
    </row>
    <row r="48" spans="3:14" ht="32.25" customHeight="1">
      <c r="D48" s="3" t="s">
        <v>9</v>
      </c>
      <c r="E48" s="23" t="s">
        <v>10</v>
      </c>
      <c r="F48" s="23" t="s">
        <v>11</v>
      </c>
      <c r="G48" s="159">
        <v>5.5</v>
      </c>
      <c r="H48" s="270" t="s">
        <v>90</v>
      </c>
      <c r="I48" s="152">
        <v>9.25</v>
      </c>
      <c r="J48" s="3" t="s">
        <v>9</v>
      </c>
      <c r="K48" s="23" t="s">
        <v>10</v>
      </c>
      <c r="L48" s="23" t="s">
        <v>11</v>
      </c>
      <c r="M48" s="7"/>
      <c r="N48" s="12"/>
    </row>
    <row r="49" spans="4:14">
      <c r="D49" s="3" t="s">
        <v>12</v>
      </c>
      <c r="E49" s="241">
        <v>0.68</v>
      </c>
      <c r="F49" s="241">
        <v>0.68</v>
      </c>
      <c r="G49" s="159">
        <v>1.25</v>
      </c>
      <c r="H49" s="271" t="s">
        <v>257</v>
      </c>
      <c r="I49" s="152">
        <v>1.25</v>
      </c>
      <c r="J49" s="3" t="s">
        <v>12</v>
      </c>
      <c r="K49" s="241">
        <v>0.68</v>
      </c>
      <c r="L49" s="281">
        <v>0.68</v>
      </c>
      <c r="M49" s="7"/>
      <c r="N49" s="12"/>
    </row>
    <row r="50" spans="4:14">
      <c r="D50" s="3" t="s">
        <v>13</v>
      </c>
      <c r="E50" s="241">
        <v>0.45</v>
      </c>
      <c r="F50" s="241">
        <v>0.45</v>
      </c>
      <c r="G50" s="159">
        <v>3.5</v>
      </c>
      <c r="H50" s="271" t="s">
        <v>252</v>
      </c>
      <c r="I50" s="152">
        <v>3.5</v>
      </c>
      <c r="J50" s="3" t="s">
        <v>13</v>
      </c>
      <c r="K50" s="241">
        <v>0.45</v>
      </c>
      <c r="L50" s="281">
        <v>0.45</v>
      </c>
      <c r="M50" s="7"/>
      <c r="N50" s="12"/>
    </row>
    <row r="51" spans="4:14">
      <c r="D51" s="3"/>
      <c r="E51" s="241"/>
      <c r="F51" s="281"/>
      <c r="G51" s="302">
        <f>'House Details'!E94</f>
        <v>0.36414954829742874</v>
      </c>
      <c r="H51" s="271" t="s">
        <v>8</v>
      </c>
      <c r="I51" s="9">
        <v>0.15</v>
      </c>
      <c r="J51" s="3"/>
      <c r="K51" s="241"/>
      <c r="L51" s="281"/>
      <c r="M51" s="7"/>
      <c r="N51" s="12"/>
    </row>
    <row r="52" spans="4:14">
      <c r="D52" s="3" t="s">
        <v>14</v>
      </c>
      <c r="E52" s="241">
        <f>G50*G48</f>
        <v>19.25</v>
      </c>
      <c r="F52" s="241">
        <f>G49*G48</f>
        <v>6.875</v>
      </c>
      <c r="G52" s="4"/>
      <c r="H52" s="4"/>
      <c r="I52" s="4"/>
      <c r="J52" s="3" t="s">
        <v>14</v>
      </c>
      <c r="K52" s="241">
        <f>I48*I50</f>
        <v>32.375</v>
      </c>
      <c r="L52" s="241">
        <f>I48*I49</f>
        <v>11.5625</v>
      </c>
      <c r="M52" s="7"/>
      <c r="N52" s="12"/>
    </row>
    <row r="53" spans="4:14">
      <c r="D53" s="3" t="s">
        <v>15</v>
      </c>
      <c r="E53" s="241">
        <v>0.8</v>
      </c>
      <c r="F53" s="241">
        <v>0.8</v>
      </c>
      <c r="G53" s="4"/>
      <c r="H53" s="4"/>
      <c r="I53" s="4"/>
      <c r="J53" s="3" t="s">
        <v>15</v>
      </c>
      <c r="K53" s="241">
        <v>0.8</v>
      </c>
      <c r="L53" s="281">
        <v>0.8</v>
      </c>
      <c r="M53" s="7"/>
      <c r="N53" s="12"/>
    </row>
    <row r="54" spans="4:14">
      <c r="D54" s="3" t="s">
        <v>91</v>
      </c>
      <c r="E54" s="150">
        <v>0</v>
      </c>
      <c r="F54" s="150">
        <v>0</v>
      </c>
      <c r="G54" s="4"/>
      <c r="H54" s="4"/>
      <c r="I54" s="4"/>
      <c r="J54" s="3" t="s">
        <v>91</v>
      </c>
      <c r="K54" s="150">
        <v>0</v>
      </c>
      <c r="L54" s="281">
        <f>K54</f>
        <v>0</v>
      </c>
      <c r="M54" s="7"/>
      <c r="N54" s="12"/>
    </row>
    <row r="55" spans="4:14">
      <c r="D55" s="3" t="s">
        <v>16</v>
      </c>
      <c r="E55" s="241">
        <v>0.5</v>
      </c>
      <c r="F55" s="241">
        <v>0.5</v>
      </c>
      <c r="G55" s="4"/>
      <c r="H55" s="4"/>
      <c r="I55" s="4"/>
      <c r="J55" s="3" t="s">
        <v>16</v>
      </c>
      <c r="K55" s="241">
        <v>0.5</v>
      </c>
      <c r="L55" s="241">
        <v>0.5</v>
      </c>
      <c r="M55" s="7"/>
      <c r="N55" s="12"/>
    </row>
    <row r="56" spans="4:14">
      <c r="D56" s="3" t="s">
        <v>17</v>
      </c>
      <c r="E56" s="241">
        <v>0.17</v>
      </c>
      <c r="F56" s="241">
        <v>0.17</v>
      </c>
      <c r="G56" s="4"/>
      <c r="H56" s="4"/>
      <c r="I56" s="4"/>
      <c r="J56" s="3" t="s">
        <v>17</v>
      </c>
      <c r="K56" s="241">
        <v>0.17</v>
      </c>
      <c r="L56" s="281">
        <v>0.17</v>
      </c>
      <c r="M56" s="7"/>
      <c r="N56" s="12"/>
    </row>
    <row r="57" spans="4:14">
      <c r="D57" s="6" t="s">
        <v>18</v>
      </c>
      <c r="E57" s="282">
        <f>SUM(E49:E56)</f>
        <v>21.85</v>
      </c>
      <c r="F57" s="282">
        <f>SUM(F49:F56)</f>
        <v>9.4750000000000014</v>
      </c>
      <c r="G57" s="4"/>
      <c r="H57" s="4"/>
      <c r="I57" s="4"/>
      <c r="J57" s="6" t="s">
        <v>18</v>
      </c>
      <c r="K57" s="282">
        <f>SUM(K49:K56)</f>
        <v>34.975000000000001</v>
      </c>
      <c r="L57" s="282">
        <f>SUM(L49:L56)</f>
        <v>14.162500000000001</v>
      </c>
      <c r="M57" s="7"/>
      <c r="N57" s="12"/>
    </row>
    <row r="58" spans="4:14" ht="31.5">
      <c r="D58" s="11"/>
      <c r="E58" s="167" t="s">
        <v>19</v>
      </c>
      <c r="F58" s="286">
        <f>(E57*(1-$G$51))+(F57*$G$51)</f>
        <v>17.343649339819322</v>
      </c>
      <c r="G58" s="7"/>
      <c r="H58" s="7"/>
      <c r="I58" s="7"/>
      <c r="J58" s="7"/>
      <c r="K58" s="167" t="s">
        <v>258</v>
      </c>
      <c r="L58" s="286">
        <f>(K57*(1-$I$51))+(L57*$I$51)</f>
        <v>31.853125000000002</v>
      </c>
      <c r="M58" s="7"/>
      <c r="N58" s="12"/>
    </row>
    <row r="59" spans="4:14">
      <c r="D59" s="266"/>
      <c r="E59" s="87" t="s">
        <v>20</v>
      </c>
      <c r="F59" s="87" t="s">
        <v>21</v>
      </c>
      <c r="G59" s="87" t="s">
        <v>0</v>
      </c>
      <c r="H59" s="87" t="s">
        <v>1</v>
      </c>
      <c r="I59" s="18" t="s">
        <v>2</v>
      </c>
      <c r="J59" s="87" t="s">
        <v>188</v>
      </c>
      <c r="K59" s="87" t="s">
        <v>3</v>
      </c>
      <c r="L59" s="87" t="s">
        <v>391</v>
      </c>
      <c r="M59" s="18" t="s">
        <v>388</v>
      </c>
      <c r="N59" s="261" t="s">
        <v>27</v>
      </c>
    </row>
    <row r="60" spans="4:14">
      <c r="D60" s="277" t="s">
        <v>23</v>
      </c>
      <c r="E60" s="4">
        <f>1-G51</f>
        <v>0.63585045170257126</v>
      </c>
      <c r="F60" s="4">
        <f>'House Details'!F104</f>
        <v>1972</v>
      </c>
      <c r="G60" s="4">
        <f>(F60)*E60</f>
        <v>1253.8970907574706</v>
      </c>
      <c r="H60" s="272">
        <f>1/I60</f>
        <v>4.5766590389016017E-2</v>
      </c>
      <c r="I60" s="279">
        <f>E57</f>
        <v>21.85</v>
      </c>
      <c r="J60" s="241">
        <f>H60*G60</f>
        <v>57.386594542675994</v>
      </c>
      <c r="K60" s="4">
        <f>'House Details'!$C$4</f>
        <v>6948</v>
      </c>
      <c r="L60" s="273">
        <f>J60*K60*24</f>
        <v>9569329.4131803066</v>
      </c>
      <c r="M60" s="242">
        <f>J60*('House Details'!$C$5-'House Details'!$C$7)</f>
        <v>3730.1286452739396</v>
      </c>
      <c r="N60" s="262">
        <f t="shared" ref="N60:N66" si="1">L60/L$66</f>
        <v>0.10351009342214074</v>
      </c>
    </row>
    <row r="61" spans="4:14">
      <c r="D61" s="278" t="s">
        <v>4</v>
      </c>
      <c r="E61" s="274"/>
      <c r="F61" s="274"/>
      <c r="G61" s="274"/>
      <c r="H61" s="274"/>
      <c r="I61" s="287"/>
      <c r="J61" s="150">
        <f>'House Details'!K91</f>
        <v>226</v>
      </c>
      <c r="K61" s="4">
        <f>'House Details'!$C$4</f>
        <v>6948</v>
      </c>
      <c r="L61" s="273">
        <f>J61*K61*24</f>
        <v>37685952</v>
      </c>
      <c r="M61" s="242">
        <f>J61*('House Details'!$C$5-'House Details'!$C$7)</f>
        <v>14690</v>
      </c>
      <c r="N61" s="262">
        <f t="shared" si="1"/>
        <v>0.40764365440795081</v>
      </c>
    </row>
    <row r="62" spans="4:14">
      <c r="D62" s="278" t="s">
        <v>5</v>
      </c>
      <c r="E62" s="274"/>
      <c r="F62" s="274"/>
      <c r="G62" s="274"/>
      <c r="H62" s="274"/>
      <c r="I62" s="287"/>
      <c r="J62" s="241">
        <f>'House Details'!K100</f>
        <v>83.333333333333329</v>
      </c>
      <c r="K62" s="4">
        <f>'House Details'!$C$4</f>
        <v>6948</v>
      </c>
      <c r="L62" s="273">
        <f t="shared" ref="L62:L64" si="2">J62*K62*24</f>
        <v>13896000</v>
      </c>
      <c r="M62" s="242">
        <f>J62*('House Details'!$C$5-'House Details'!$C$7)</f>
        <v>5416.6666666666661</v>
      </c>
      <c r="N62" s="262">
        <f t="shared" si="1"/>
        <v>0.15031108200883142</v>
      </c>
    </row>
    <row r="63" spans="4:14">
      <c r="D63" s="278" t="s">
        <v>6</v>
      </c>
      <c r="E63" s="4">
        <f>G51</f>
        <v>0.36414954829742874</v>
      </c>
      <c r="F63" s="4">
        <f>'House Details'!F104</f>
        <v>1972</v>
      </c>
      <c r="G63" s="4">
        <f>(F63)*E63</f>
        <v>718.10290924252945</v>
      </c>
      <c r="H63" s="272">
        <f>1/I63</f>
        <v>0.10554089709762532</v>
      </c>
      <c r="I63" s="279">
        <f>F57</f>
        <v>9.4750000000000014</v>
      </c>
      <c r="J63" s="241">
        <f>H63*G63</f>
        <v>75.78922524987118</v>
      </c>
      <c r="K63" s="4">
        <f>'House Details'!$C$4</f>
        <v>6948</v>
      </c>
      <c r="L63" s="273">
        <f t="shared" si="2"/>
        <v>12638004.888866518</v>
      </c>
      <c r="M63" s="242">
        <f>J63*('House Details'!$C$5-'House Details'!$C$7)</f>
        <v>4926.2996412416269</v>
      </c>
      <c r="N63" s="262">
        <f t="shared" si="1"/>
        <v>0.13670352542303019</v>
      </c>
    </row>
    <row r="64" spans="4:14">
      <c r="D64" s="277" t="s">
        <v>186</v>
      </c>
      <c r="E64" s="274"/>
      <c r="F64" s="274"/>
      <c r="G64" s="242">
        <f>'House Details'!G113</f>
        <v>1888</v>
      </c>
      <c r="H64" s="272">
        <f>1/I64</f>
        <v>3.139409398606887E-2</v>
      </c>
      <c r="I64" s="279">
        <f>L58</f>
        <v>31.853125000000002</v>
      </c>
      <c r="J64" s="241">
        <f>G64*H64</f>
        <v>59.27204944569803</v>
      </c>
      <c r="K64" s="4">
        <f>'House Details'!$C$4</f>
        <v>6948</v>
      </c>
      <c r="L64" s="273">
        <f t="shared" si="2"/>
        <v>9883732.7891690377</v>
      </c>
      <c r="M64" s="242">
        <f>J64*('House Details'!$C$5-'House Details'!$C$7)</f>
        <v>3852.683213970372</v>
      </c>
      <c r="N64" s="262">
        <f t="shared" si="1"/>
        <v>0.10691095062076593</v>
      </c>
    </row>
    <row r="65" spans="4:23">
      <c r="D65" s="278" t="s">
        <v>187</v>
      </c>
      <c r="E65" s="274"/>
      <c r="F65" s="274"/>
      <c r="G65" s="274"/>
      <c r="H65" s="274"/>
      <c r="I65" s="274"/>
      <c r="J65" s="274"/>
      <c r="K65" s="274"/>
      <c r="L65" s="275">
        <f>E44*'House Details'!C27</f>
        <v>8775254.2781658433</v>
      </c>
      <c r="M65" s="276">
        <f>E44</f>
        <v>2031.3088606865379</v>
      </c>
      <c r="N65" s="262">
        <f t="shared" si="1"/>
        <v>9.4920694117280865E-2</v>
      </c>
    </row>
    <row r="66" spans="4:23" ht="16.5" thickBot="1">
      <c r="D66" s="14" t="s">
        <v>7</v>
      </c>
      <c r="E66" s="16"/>
      <c r="F66" s="16"/>
      <c r="G66" s="16"/>
      <c r="H66" s="16"/>
      <c r="I66" s="15"/>
      <c r="J66" s="16"/>
      <c r="K66" s="16"/>
      <c r="L66" s="101">
        <f>SUM(L60:L65)</f>
        <v>92448273.369381711</v>
      </c>
      <c r="M66" s="101">
        <f>SUM(M60:M65)</f>
        <v>34647.087027839145</v>
      </c>
      <c r="N66" s="263">
        <f t="shared" si="1"/>
        <v>1</v>
      </c>
    </row>
    <row r="67" spans="4:23" ht="16.5" thickBot="1"/>
    <row r="68" spans="4:23" ht="19.5" thickBot="1">
      <c r="D68" s="344" t="s">
        <v>63</v>
      </c>
      <c r="E68" s="345"/>
      <c r="F68" s="345"/>
      <c r="G68" s="345"/>
      <c r="H68" s="345"/>
      <c r="I68" s="345"/>
      <c r="J68" s="345"/>
      <c r="K68" s="345"/>
      <c r="L68" s="345"/>
      <c r="M68" s="249"/>
      <c r="N68" s="250"/>
      <c r="O68" s="10"/>
      <c r="P68" s="10"/>
      <c r="Q68" s="68"/>
      <c r="R68" s="68"/>
      <c r="S68" s="68"/>
      <c r="T68" s="10"/>
      <c r="U68" s="10"/>
      <c r="V68" s="10"/>
      <c r="W68" s="10"/>
    </row>
    <row r="69" spans="4:23" ht="16.5" thickBot="1">
      <c r="D69" s="191" t="s">
        <v>189</v>
      </c>
      <c r="E69" s="192"/>
      <c r="F69" s="192"/>
      <c r="G69" s="193"/>
      <c r="H69" s="192"/>
      <c r="I69" s="192"/>
      <c r="J69" s="193" t="s">
        <v>190</v>
      </c>
      <c r="K69" s="192"/>
      <c r="L69" s="192"/>
      <c r="M69" s="192"/>
      <c r="N69" s="166"/>
      <c r="O69" s="10"/>
      <c r="P69" s="10"/>
      <c r="Q69" s="68"/>
      <c r="R69" s="69"/>
      <c r="S69" s="70"/>
      <c r="T69" s="68"/>
      <c r="U69" s="10"/>
      <c r="V69" s="10"/>
      <c r="W69" s="10"/>
    </row>
    <row r="70" spans="4:23" ht="47.25">
      <c r="D70" s="251" t="s">
        <v>9</v>
      </c>
      <c r="E70" s="252" t="s">
        <v>10</v>
      </c>
      <c r="F70" s="252" t="s">
        <v>11</v>
      </c>
      <c r="G70" s="253">
        <v>5.5</v>
      </c>
      <c r="H70" s="254" t="s">
        <v>90</v>
      </c>
      <c r="I70" s="255">
        <v>9.25</v>
      </c>
      <c r="J70" s="256" t="s">
        <v>9</v>
      </c>
      <c r="K70" s="257" t="s">
        <v>10</v>
      </c>
      <c r="L70" s="252" t="s">
        <v>11</v>
      </c>
      <c r="M70" s="162"/>
      <c r="N70" s="258"/>
      <c r="O70" s="10"/>
      <c r="P70" s="10"/>
      <c r="Q70" s="68"/>
      <c r="R70" s="69"/>
      <c r="S70" s="69"/>
      <c r="T70" s="10"/>
      <c r="U70" s="10"/>
      <c r="V70" s="10"/>
      <c r="W70" s="10"/>
    </row>
    <row r="71" spans="4:23">
      <c r="D71" s="89" t="s">
        <v>12</v>
      </c>
      <c r="E71" s="241">
        <v>0.68</v>
      </c>
      <c r="F71" s="281">
        <v>0.68</v>
      </c>
      <c r="G71" s="159">
        <v>1.25</v>
      </c>
      <c r="H71" s="75" t="s">
        <v>257</v>
      </c>
      <c r="I71" s="152">
        <v>1.25</v>
      </c>
      <c r="J71" s="3" t="s">
        <v>12</v>
      </c>
      <c r="K71" s="283">
        <v>0.68</v>
      </c>
      <c r="L71" s="281">
        <v>0.68</v>
      </c>
      <c r="M71" s="7"/>
      <c r="N71" s="259"/>
      <c r="O71" s="10"/>
      <c r="P71" s="10"/>
      <c r="Q71" s="68"/>
      <c r="R71" s="69"/>
      <c r="S71" s="69"/>
      <c r="T71" s="10"/>
      <c r="U71" s="10"/>
      <c r="V71" s="10"/>
      <c r="W71" s="10"/>
    </row>
    <row r="72" spans="4:23">
      <c r="D72" s="89" t="s">
        <v>13</v>
      </c>
      <c r="E72" s="241">
        <v>0.45</v>
      </c>
      <c r="F72" s="281">
        <v>0.45</v>
      </c>
      <c r="G72" s="159">
        <v>3.85</v>
      </c>
      <c r="H72" s="75" t="s">
        <v>252</v>
      </c>
      <c r="I72" s="152">
        <v>3.85</v>
      </c>
      <c r="J72" s="3" t="s">
        <v>13</v>
      </c>
      <c r="K72" s="283">
        <v>0.45</v>
      </c>
      <c r="L72" s="281">
        <v>0.45</v>
      </c>
      <c r="M72" s="7"/>
      <c r="N72" s="259"/>
      <c r="O72" s="10"/>
      <c r="P72" s="10"/>
      <c r="Q72" s="68"/>
      <c r="R72" s="69"/>
      <c r="S72" s="70"/>
      <c r="T72" s="10"/>
      <c r="U72" s="10"/>
      <c r="V72" s="10"/>
      <c r="W72" s="10"/>
    </row>
    <row r="73" spans="4:23">
      <c r="D73" s="89" t="s">
        <v>15</v>
      </c>
      <c r="E73" s="241">
        <v>0.8</v>
      </c>
      <c r="F73" s="281">
        <v>0.8</v>
      </c>
      <c r="G73" s="302">
        <f>'House Details'!E93</f>
        <v>0.17799687282835303</v>
      </c>
      <c r="H73" s="75" t="s">
        <v>8</v>
      </c>
      <c r="I73" s="9">
        <v>0.03</v>
      </c>
      <c r="J73" s="3" t="s">
        <v>15</v>
      </c>
      <c r="K73" s="283">
        <v>0.8</v>
      </c>
      <c r="L73" s="281">
        <v>0.8</v>
      </c>
      <c r="M73" s="7"/>
      <c r="N73" s="259"/>
      <c r="O73" s="10"/>
      <c r="P73" s="10"/>
      <c r="Q73" s="68"/>
      <c r="R73" s="69"/>
      <c r="S73" s="70"/>
      <c r="T73" s="10"/>
      <c r="U73" s="10"/>
      <c r="V73" s="10"/>
      <c r="W73" s="10"/>
    </row>
    <row r="74" spans="4:23">
      <c r="D74" s="89" t="s">
        <v>14</v>
      </c>
      <c r="E74" s="241">
        <f>G72*G70</f>
        <v>21.175000000000001</v>
      </c>
      <c r="F74" s="241">
        <f>G71*G70</f>
        <v>6.875</v>
      </c>
      <c r="G74" s="7"/>
      <c r="H74" s="7"/>
      <c r="I74" s="7"/>
      <c r="J74" s="3" t="s">
        <v>14</v>
      </c>
      <c r="K74" s="283">
        <f>I70*I72</f>
        <v>35.612500000000004</v>
      </c>
      <c r="L74" s="241">
        <f>I70*I71</f>
        <v>11.5625</v>
      </c>
      <c r="M74" s="7"/>
      <c r="N74" s="259"/>
      <c r="O74" s="10"/>
      <c r="P74" s="10"/>
      <c r="Q74" s="68"/>
      <c r="R74" s="69"/>
      <c r="S74" s="69"/>
      <c r="T74" s="10"/>
      <c r="U74" s="10"/>
      <c r="V74" s="10"/>
      <c r="W74" s="10"/>
    </row>
    <row r="75" spans="4:23">
      <c r="D75" s="89" t="s">
        <v>15</v>
      </c>
      <c r="E75" s="241">
        <v>0.8</v>
      </c>
      <c r="F75" s="281">
        <v>0.8</v>
      </c>
      <c r="G75" s="7"/>
      <c r="H75" s="7"/>
      <c r="I75" s="7"/>
      <c r="J75" s="3" t="s">
        <v>15</v>
      </c>
      <c r="K75" s="283">
        <v>0.8</v>
      </c>
      <c r="L75" s="281">
        <v>0.8</v>
      </c>
      <c r="M75" s="7"/>
      <c r="N75" s="259"/>
      <c r="O75" s="10"/>
      <c r="P75" s="10"/>
      <c r="Q75" s="68"/>
      <c r="R75" s="69"/>
      <c r="S75" s="70"/>
      <c r="T75" s="10"/>
      <c r="U75" s="10"/>
      <c r="V75" s="10"/>
      <c r="W75" s="10"/>
    </row>
    <row r="76" spans="4:23">
      <c r="D76" s="89" t="s">
        <v>91</v>
      </c>
      <c r="E76" s="150">
        <v>0.68</v>
      </c>
      <c r="F76" s="281">
        <f>E76</f>
        <v>0.68</v>
      </c>
      <c r="G76" s="7"/>
      <c r="H76" s="7"/>
      <c r="I76" s="7"/>
      <c r="J76" s="3" t="s">
        <v>91</v>
      </c>
      <c r="K76" s="284">
        <v>0.68</v>
      </c>
      <c r="L76" s="281">
        <f>K76</f>
        <v>0.68</v>
      </c>
      <c r="M76" s="7"/>
      <c r="N76" s="259"/>
      <c r="O76" s="10"/>
      <c r="P76" s="10"/>
      <c r="Q76" s="20"/>
      <c r="R76" s="71"/>
      <c r="S76" s="71"/>
      <c r="T76" s="10"/>
      <c r="U76" s="10"/>
      <c r="V76" s="10"/>
      <c r="W76" s="10"/>
    </row>
    <row r="77" spans="4:23">
      <c r="D77" s="89" t="s">
        <v>16</v>
      </c>
      <c r="E77" s="241">
        <v>0.5</v>
      </c>
      <c r="F77" s="241">
        <v>0.5</v>
      </c>
      <c r="G77" s="7"/>
      <c r="H77" s="7"/>
      <c r="I77" s="7"/>
      <c r="J77" s="3" t="s">
        <v>16</v>
      </c>
      <c r="K77" s="283">
        <v>0.5</v>
      </c>
      <c r="L77" s="241">
        <v>0.5</v>
      </c>
      <c r="M77" s="7"/>
      <c r="N77" s="259"/>
      <c r="O77" s="10"/>
      <c r="P77" s="10"/>
      <c r="Q77" s="10"/>
      <c r="R77" s="20"/>
      <c r="S77" s="20"/>
      <c r="T77" s="10"/>
      <c r="U77" s="10"/>
      <c r="V77" s="10"/>
      <c r="W77" s="10"/>
    </row>
    <row r="78" spans="4:23">
      <c r="D78" s="89" t="s">
        <v>17</v>
      </c>
      <c r="E78" s="241">
        <v>0.17</v>
      </c>
      <c r="F78" s="281">
        <v>0.17</v>
      </c>
      <c r="G78" s="7"/>
      <c r="H78" s="7"/>
      <c r="I78" s="7"/>
      <c r="J78" s="3" t="s">
        <v>17</v>
      </c>
      <c r="K78" s="283">
        <v>0.17</v>
      </c>
      <c r="L78" s="281">
        <v>0.17</v>
      </c>
      <c r="M78" s="7"/>
      <c r="N78" s="260"/>
      <c r="O78" s="18"/>
      <c r="P78" s="18"/>
      <c r="Q78" s="18"/>
      <c r="R78" s="18"/>
      <c r="S78" s="18"/>
      <c r="T78" s="18"/>
      <c r="U78" s="18"/>
      <c r="V78" s="72"/>
      <c r="W78" s="10"/>
    </row>
    <row r="79" spans="4:23">
      <c r="D79" s="90" t="s">
        <v>18</v>
      </c>
      <c r="E79" s="282">
        <f>SUM(E71:E78)</f>
        <v>25.255000000000003</v>
      </c>
      <c r="F79" s="282">
        <f>SUM(F71:F78)</f>
        <v>10.955</v>
      </c>
      <c r="G79" s="7"/>
      <c r="H79" s="7"/>
      <c r="I79" s="7"/>
      <c r="J79" s="6" t="s">
        <v>18</v>
      </c>
      <c r="K79" s="285">
        <f>SUM(K71:K78)</f>
        <v>39.692500000000003</v>
      </c>
      <c r="L79" s="282">
        <f>SUM(L71:L78)</f>
        <v>15.6425</v>
      </c>
      <c r="M79" s="7"/>
      <c r="N79" s="260"/>
      <c r="O79" s="10"/>
      <c r="P79" s="10"/>
      <c r="Q79" s="10"/>
      <c r="R79" s="10"/>
      <c r="S79" s="10"/>
      <c r="T79" s="10"/>
      <c r="U79" s="10"/>
      <c r="V79" s="73"/>
      <c r="W79" s="10"/>
    </row>
    <row r="80" spans="4:23">
      <c r="D80" s="11"/>
      <c r="E80" s="13" t="s">
        <v>19</v>
      </c>
      <c r="F80" s="286">
        <f>(E79*(1-$G$51))+(F79*$G$51)</f>
        <v>20.047661459346774</v>
      </c>
      <c r="G80" s="7"/>
      <c r="H80" s="48"/>
      <c r="I80" s="48"/>
      <c r="J80" s="48"/>
      <c r="K80" s="13" t="s">
        <v>19</v>
      </c>
      <c r="L80" s="280">
        <f>(K79*(1-$I$51))+(L79*$I$51)</f>
        <v>36.085000000000001</v>
      </c>
      <c r="M80" s="7"/>
      <c r="N80" s="260"/>
      <c r="O80" s="10"/>
      <c r="P80" s="10"/>
      <c r="Q80" s="10"/>
      <c r="R80" s="10"/>
      <c r="S80" s="10"/>
      <c r="T80" s="10"/>
      <c r="U80" s="10"/>
      <c r="V80" s="73"/>
      <c r="W80" s="10"/>
    </row>
    <row r="81" spans="4:23">
      <c r="D81" s="19"/>
      <c r="E81" s="8" t="s">
        <v>20</v>
      </c>
      <c r="F81" s="8" t="s">
        <v>21</v>
      </c>
      <c r="G81" s="8" t="s">
        <v>0</v>
      </c>
      <c r="H81" s="87" t="s">
        <v>1</v>
      </c>
      <c r="I81" s="18" t="s">
        <v>2</v>
      </c>
      <c r="J81" s="87" t="s">
        <v>188</v>
      </c>
      <c r="K81" s="8" t="s">
        <v>3</v>
      </c>
      <c r="L81" s="87" t="s">
        <v>391</v>
      </c>
      <c r="M81" s="18" t="s">
        <v>388</v>
      </c>
      <c r="N81" s="261" t="s">
        <v>27</v>
      </c>
      <c r="O81" s="10"/>
      <c r="P81" s="10"/>
      <c r="Q81" s="10"/>
      <c r="R81" s="10"/>
      <c r="S81" s="10"/>
      <c r="T81" s="10"/>
      <c r="U81" s="10"/>
      <c r="V81" s="73"/>
      <c r="W81" s="10"/>
    </row>
    <row r="82" spans="4:23">
      <c r="D82" s="277" t="s">
        <v>23</v>
      </c>
      <c r="E82" s="4">
        <f>1-G73</f>
        <v>0.82200312717164703</v>
      </c>
      <c r="F82" s="4">
        <f>'House Details'!F104</f>
        <v>1972</v>
      </c>
      <c r="G82" s="4">
        <f>F82*E82</f>
        <v>1620.9901667824879</v>
      </c>
      <c r="H82" s="272">
        <f>1/I82</f>
        <v>3.9596119580281128E-2</v>
      </c>
      <c r="I82" s="279">
        <f>E79</f>
        <v>25.255000000000003</v>
      </c>
      <c r="J82" s="241">
        <f>H82*G82</f>
        <v>64.184920482379241</v>
      </c>
      <c r="K82" s="4">
        <f>'House Details'!$C$4</f>
        <v>6948</v>
      </c>
      <c r="L82" s="273">
        <f>J82*K82*24</f>
        <v>10702963.860277703</v>
      </c>
      <c r="M82" s="242">
        <f>J82*('House Details'!$C$5-'House Details'!$C$7)</f>
        <v>4172.0198313546507</v>
      </c>
      <c r="N82" s="262">
        <f t="shared" ref="N82:N88" si="3">L82/L$88</f>
        <v>0.12572833723786819</v>
      </c>
      <c r="O82" s="10"/>
      <c r="P82" s="10"/>
      <c r="Q82" s="10"/>
      <c r="R82" s="10"/>
      <c r="S82" s="10"/>
      <c r="T82" s="10"/>
      <c r="U82" s="10"/>
      <c r="V82" s="73"/>
      <c r="W82" s="10"/>
    </row>
    <row r="83" spans="4:23">
      <c r="D83" s="278" t="s">
        <v>4</v>
      </c>
      <c r="E83" s="274"/>
      <c r="F83" s="274"/>
      <c r="G83" s="274"/>
      <c r="H83" s="274"/>
      <c r="I83" s="287"/>
      <c r="J83" s="150">
        <f>'House Details'!K91</f>
        <v>226</v>
      </c>
      <c r="K83" s="4">
        <f>'House Details'!$C$4</f>
        <v>6948</v>
      </c>
      <c r="L83" s="273">
        <f>J83*K83*24</f>
        <v>37685952</v>
      </c>
      <c r="M83" s="242">
        <f>J83*('House Details'!$C$5-'House Details'!$C$7)</f>
        <v>14690</v>
      </c>
      <c r="N83" s="262">
        <f t="shared" si="3"/>
        <v>0.44269906392668829</v>
      </c>
      <c r="O83" s="10"/>
      <c r="P83" s="10"/>
      <c r="Q83" s="10"/>
      <c r="R83" s="10"/>
      <c r="S83" s="10"/>
      <c r="T83" s="10"/>
      <c r="U83" s="10"/>
      <c r="V83" s="73"/>
      <c r="W83" s="10"/>
    </row>
    <row r="84" spans="4:23">
      <c r="D84" s="278" t="s">
        <v>5</v>
      </c>
      <c r="E84" s="274"/>
      <c r="F84" s="274"/>
      <c r="G84" s="274"/>
      <c r="H84" s="274"/>
      <c r="I84" s="287"/>
      <c r="J84" s="241">
        <f>'House Details'!K100</f>
        <v>83.333333333333329</v>
      </c>
      <c r="K84" s="4">
        <f>'House Details'!$C$4</f>
        <v>6948</v>
      </c>
      <c r="L84" s="273">
        <f t="shared" ref="L84:L86" si="4">J84*K84*24</f>
        <v>13896000</v>
      </c>
      <c r="M84" s="242">
        <f>J84*('House Details'!$C$5-'House Details'!$C$7)</f>
        <v>5416.6666666666661</v>
      </c>
      <c r="N84" s="262">
        <f t="shared" si="3"/>
        <v>0.16323711796706797</v>
      </c>
      <c r="O84" s="10"/>
      <c r="P84" s="10"/>
      <c r="Q84" s="20"/>
      <c r="R84" s="20"/>
      <c r="S84" s="20"/>
      <c r="T84" s="20"/>
      <c r="U84" s="20"/>
      <c r="V84" s="73"/>
      <c r="W84" s="10"/>
    </row>
    <row r="85" spans="4:23" ht="16.5" customHeight="1">
      <c r="D85" s="278" t="s">
        <v>6</v>
      </c>
      <c r="E85" s="4">
        <f>G73</f>
        <v>0.17799687282835303</v>
      </c>
      <c r="F85" s="4">
        <f>'House Details'!F104</f>
        <v>1972</v>
      </c>
      <c r="G85" s="4">
        <f>F85*E85</f>
        <v>351.00983321751215</v>
      </c>
      <c r="H85" s="272">
        <f>1/I85</f>
        <v>9.1282519397535372E-2</v>
      </c>
      <c r="I85" s="279">
        <f>F79</f>
        <v>10.955</v>
      </c>
      <c r="J85" s="241">
        <f>H85*G85</f>
        <v>32.041061909403211</v>
      </c>
      <c r="K85" s="4">
        <f>'House Details'!$C$4</f>
        <v>6948</v>
      </c>
      <c r="L85" s="273">
        <f t="shared" si="4"/>
        <v>5342911.1555168042</v>
      </c>
      <c r="M85" s="242">
        <f>J85*('House Details'!$C$5-'House Details'!$C$7)</f>
        <v>2082.6690241112087</v>
      </c>
      <c r="N85" s="262">
        <f t="shared" si="3"/>
        <v>6.2763487232344553E-2</v>
      </c>
      <c r="O85" s="10"/>
      <c r="P85" s="10"/>
      <c r="Q85" s="10"/>
      <c r="R85" s="10"/>
      <c r="S85" s="10"/>
      <c r="T85" s="10"/>
      <c r="U85" s="10"/>
      <c r="V85" s="10"/>
      <c r="W85" s="10"/>
    </row>
    <row r="86" spans="4:23">
      <c r="D86" s="278" t="s">
        <v>186</v>
      </c>
      <c r="E86" s="274"/>
      <c r="F86" s="274"/>
      <c r="G86" s="242">
        <f>'House Details'!G113</f>
        <v>1888</v>
      </c>
      <c r="H86" s="272">
        <f>1/I86</f>
        <v>2.7712345850076207E-2</v>
      </c>
      <c r="I86" s="279">
        <f>L80</f>
        <v>36.085000000000001</v>
      </c>
      <c r="J86" s="241">
        <f>G86*H86</f>
        <v>52.320908964943875</v>
      </c>
      <c r="K86" s="4">
        <f>'House Details'!$C$4</f>
        <v>6948</v>
      </c>
      <c r="L86" s="273">
        <f t="shared" si="4"/>
        <v>8724616.2117223199</v>
      </c>
      <c r="M86" s="242">
        <f>J86*('House Details'!$C$5-'House Details'!$C$7)</f>
        <v>3400.859082721352</v>
      </c>
      <c r="N86" s="262">
        <f t="shared" si="3"/>
        <v>0.10248857266625719</v>
      </c>
    </row>
    <row r="87" spans="4:23">
      <c r="D87" s="277" t="s">
        <v>187</v>
      </c>
      <c r="E87" s="274"/>
      <c r="F87" s="274"/>
      <c r="G87" s="274"/>
      <c r="H87" s="274"/>
      <c r="I87" s="274"/>
      <c r="J87" s="274"/>
      <c r="K87" s="274"/>
      <c r="L87" s="275">
        <f>E44*'House Details'!C27</f>
        <v>8775254.2781658433</v>
      </c>
      <c r="M87" s="276">
        <f>E44</f>
        <v>2031.3088606865379</v>
      </c>
      <c r="N87" s="262">
        <f t="shared" si="3"/>
        <v>0.10308342096977371</v>
      </c>
    </row>
    <row r="88" spans="4:23" ht="16.5" thickBot="1">
      <c r="D88" s="14" t="s">
        <v>7</v>
      </c>
      <c r="E88" s="16"/>
      <c r="F88" s="16"/>
      <c r="G88" s="16"/>
      <c r="H88" s="16"/>
      <c r="I88" s="15"/>
      <c r="J88" s="16"/>
      <c r="K88" s="16"/>
      <c r="L88" s="101">
        <f>SUM(L82:L87)</f>
        <v>85127697.505682677</v>
      </c>
      <c r="M88" s="101">
        <f>SUM(M82:M87)</f>
        <v>31793.523465540413</v>
      </c>
      <c r="N88" s="263">
        <f t="shared" si="3"/>
        <v>1</v>
      </c>
    </row>
    <row r="89" spans="4:23">
      <c r="J89" s="10"/>
      <c r="K89" s="10"/>
      <c r="L89" s="10"/>
    </row>
    <row r="90" spans="4:23">
      <c r="J90" s="10"/>
      <c r="K90" s="10"/>
      <c r="L90" s="10"/>
    </row>
    <row r="91" spans="4:23">
      <c r="J91" s="10"/>
      <c r="K91" s="10"/>
      <c r="L91" s="10"/>
    </row>
    <row r="92" spans="4:23">
      <c r="D92" s="65"/>
      <c r="E92" s="43"/>
      <c r="F92" s="43"/>
      <c r="G92" s="43"/>
      <c r="H92" s="43"/>
      <c r="I92" s="43"/>
      <c r="J92" s="10"/>
      <c r="K92" s="10"/>
      <c r="L92" s="10"/>
    </row>
    <row r="93" spans="4:23">
      <c r="D93" s="43"/>
      <c r="E93" s="66"/>
      <c r="F93" s="66"/>
      <c r="G93" s="66"/>
      <c r="H93" s="43"/>
      <c r="I93" s="43"/>
      <c r="J93" s="10"/>
      <c r="K93" s="10"/>
      <c r="L93" s="10"/>
    </row>
    <row r="94" spans="4:23">
      <c r="D94" s="43"/>
      <c r="E94" s="43"/>
      <c r="F94" s="43"/>
      <c r="G94" s="43"/>
      <c r="H94" s="43"/>
      <c r="I94" s="43"/>
      <c r="J94" s="10"/>
      <c r="K94" s="10"/>
      <c r="L94" s="10"/>
    </row>
    <row r="95" spans="4:23">
      <c r="D95" s="43"/>
      <c r="E95" s="43"/>
      <c r="F95" s="43"/>
      <c r="G95" s="43"/>
      <c r="H95" s="43"/>
      <c r="I95" s="43"/>
      <c r="J95" s="10"/>
      <c r="K95" s="10"/>
      <c r="L95" s="10"/>
    </row>
    <row r="96" spans="4:23">
      <c r="D96" s="67"/>
      <c r="E96" s="67"/>
      <c r="F96" s="67"/>
      <c r="G96" s="67"/>
      <c r="H96" s="67"/>
      <c r="I96" s="67"/>
      <c r="J96" s="67"/>
      <c r="K96" s="67"/>
      <c r="L96" s="10"/>
    </row>
    <row r="97" spans="4:12">
      <c r="D97" s="43"/>
      <c r="E97" s="43"/>
      <c r="F97" s="43"/>
      <c r="G97" s="43"/>
      <c r="H97" s="43"/>
      <c r="I97" s="43"/>
      <c r="J97" s="43"/>
      <c r="K97" s="43"/>
      <c r="L97" s="10"/>
    </row>
    <row r="98" spans="4:12">
      <c r="D98" s="43"/>
      <c r="E98" s="43"/>
      <c r="F98" s="43"/>
      <c r="G98" s="43"/>
      <c r="H98" s="43"/>
      <c r="I98" s="43"/>
      <c r="J98" s="43"/>
      <c r="K98" s="43"/>
      <c r="L98" s="10"/>
    </row>
    <row r="99" spans="4:12">
      <c r="J99" s="10"/>
      <c r="K99" s="10"/>
      <c r="L99" s="52"/>
    </row>
    <row r="100" spans="4:12">
      <c r="J100" s="10"/>
      <c r="K100" s="10"/>
      <c r="L100" s="52"/>
    </row>
    <row r="101" spans="4:12">
      <c r="J101" s="10"/>
      <c r="K101" s="10"/>
      <c r="L101" s="52"/>
    </row>
    <row r="102" spans="4:12">
      <c r="J102" s="10"/>
      <c r="K102" s="10"/>
      <c r="L102" s="10"/>
    </row>
    <row r="103" spans="4:12">
      <c r="J103" s="10"/>
      <c r="K103" s="10"/>
      <c r="L103" s="20"/>
    </row>
    <row r="104" spans="4:12">
      <c r="J104" s="10"/>
      <c r="K104" s="10"/>
    </row>
  </sheetData>
  <mergeCells count="12">
    <mergeCell ref="J24:K24"/>
    <mergeCell ref="D46:L46"/>
    <mergeCell ref="D68:L68"/>
    <mergeCell ref="G18:H18"/>
    <mergeCell ref="G19:H19"/>
    <mergeCell ref="G20:H20"/>
    <mergeCell ref="G21:H21"/>
    <mergeCell ref="G22:H22"/>
    <mergeCell ref="G23:H23"/>
    <mergeCell ref="G24:H24"/>
    <mergeCell ref="J21:K21"/>
    <mergeCell ref="J23:K23"/>
  </mergeCells>
  <pageMargins left="0.75" right="0.75" top="1" bottom="1" header="0.5" footer="0.5"/>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C2:N59"/>
  <sheetViews>
    <sheetView topLeftCell="A24" workbookViewId="0">
      <selection activeCell="F10" sqref="F10"/>
    </sheetView>
  </sheetViews>
  <sheetFormatPr defaultRowHeight="15.75"/>
  <cols>
    <col min="1" max="1" width="3.25" customWidth="1"/>
    <col min="2" max="2" width="1.125" customWidth="1"/>
    <col min="3" max="3" width="14.5" customWidth="1"/>
    <col min="4" max="4" width="13.625" customWidth="1"/>
    <col min="5" max="5" width="13" customWidth="1"/>
    <col min="6" max="6" width="12.625" customWidth="1"/>
    <col min="7" max="7" width="7.75" customWidth="1"/>
    <col min="9" max="9" width="11.5" customWidth="1"/>
    <col min="10" max="10" width="7" customWidth="1"/>
    <col min="11" max="11" width="11.25" customWidth="1"/>
    <col min="12" max="12" width="10.875" customWidth="1"/>
  </cols>
  <sheetData>
    <row r="2" spans="3:10">
      <c r="C2" s="21"/>
      <c r="D2" s="184" t="s">
        <v>397</v>
      </c>
      <c r="E2" s="22" t="s">
        <v>28</v>
      </c>
      <c r="F2" s="185" t="s">
        <v>217</v>
      </c>
      <c r="H2" t="s">
        <v>24</v>
      </c>
      <c r="I2">
        <v>2.9307106999999999E-4</v>
      </c>
      <c r="J2" t="s">
        <v>25</v>
      </c>
    </row>
    <row r="3" spans="3:10" ht="18">
      <c r="C3" s="23" t="s">
        <v>29</v>
      </c>
      <c r="D3" s="9">
        <f>'House Details'!F58</f>
        <v>4032</v>
      </c>
      <c r="E3" s="54" t="s">
        <v>228</v>
      </c>
      <c r="F3" s="9">
        <f>'House Details'!F58</f>
        <v>4032</v>
      </c>
      <c r="H3" t="s">
        <v>30</v>
      </c>
      <c r="I3">
        <v>3412.1416300000001</v>
      </c>
      <c r="J3" t="s">
        <v>31</v>
      </c>
    </row>
    <row r="4" spans="3:10">
      <c r="C4" s="23" t="s">
        <v>33</v>
      </c>
      <c r="D4" s="150">
        <f>('House Details'!H52*'House Details'!F52+'House Details'!H53*'House Details'!F53+'House Details'!H54*'House Details'!F54+'House Details'!H55*'House Details'!F55)/'House Details'!F58</f>
        <v>7.416666666666667</v>
      </c>
      <c r="E4" s="54" t="s">
        <v>32</v>
      </c>
      <c r="F4" s="150">
        <f>('House Details'!H52*'House Details'!F52+'House Details'!H53*'House Details'!F53+'House Details'!H54*'House Details'!F54+'House Details'!H55*'House Details'!F55)/'House Details'!F58</f>
        <v>7.416666666666667</v>
      </c>
    </row>
    <row r="5" spans="3:10" ht="31.5">
      <c r="C5" s="23" t="s">
        <v>22</v>
      </c>
      <c r="D5" s="9">
        <f>'House Details'!J57</f>
        <v>3</v>
      </c>
      <c r="E5" s="54" t="s">
        <v>34</v>
      </c>
      <c r="F5" s="9">
        <f>'House Details'!J57</f>
        <v>3</v>
      </c>
    </row>
    <row r="6" spans="3:10" ht="18">
      <c r="C6" s="23" t="s">
        <v>35</v>
      </c>
      <c r="D6" s="9">
        <f>D3*D4</f>
        <v>29904</v>
      </c>
      <c r="E6" s="54" t="s">
        <v>229</v>
      </c>
      <c r="F6" s="9">
        <f>F3*F4</f>
        <v>29904</v>
      </c>
    </row>
    <row r="7" spans="3:10" ht="18">
      <c r="C7" s="23" t="s">
        <v>36</v>
      </c>
      <c r="D7" s="151">
        <f>'House Details'!G113+'House Details'!F78</f>
        <v>4766</v>
      </c>
      <c r="E7" s="54" t="s">
        <v>228</v>
      </c>
      <c r="F7" s="151">
        <f>'House Details'!F78+'House Details'!G113</f>
        <v>4766</v>
      </c>
    </row>
    <row r="8" spans="3:10">
      <c r="C8" s="23" t="s">
        <v>38</v>
      </c>
      <c r="D8" s="9">
        <v>0.5</v>
      </c>
      <c r="E8" s="54"/>
      <c r="F8" s="9">
        <v>0.5</v>
      </c>
    </row>
    <row r="9" spans="3:10" ht="33">
      <c r="C9" s="23" t="s">
        <v>69</v>
      </c>
      <c r="D9" s="152">
        <v>7300</v>
      </c>
      <c r="E9" s="54" t="s">
        <v>227</v>
      </c>
      <c r="F9" s="152">
        <v>1150</v>
      </c>
    </row>
    <row r="10" spans="3:10">
      <c r="D10" s="43"/>
      <c r="F10" s="43"/>
      <c r="I10" s="24"/>
      <c r="J10" s="20"/>
    </row>
    <row r="11" spans="3:10">
      <c r="C11" s="25" t="s">
        <v>223</v>
      </c>
      <c r="D11" s="26"/>
      <c r="E11" s="26"/>
      <c r="F11" s="26"/>
      <c r="G11" s="26"/>
      <c r="H11" s="26"/>
      <c r="I11" s="10"/>
      <c r="J11" s="10"/>
    </row>
    <row r="12" spans="3:10">
      <c r="C12" s="27" t="s">
        <v>40</v>
      </c>
      <c r="D12" s="28">
        <f>(D9/2592)</f>
        <v>2.816358024691358</v>
      </c>
      <c r="E12" s="55" t="s">
        <v>26</v>
      </c>
      <c r="F12" s="29">
        <f>(F9/2592)</f>
        <v>0.44367283950617287</v>
      </c>
      <c r="G12" s="27"/>
      <c r="H12" s="27"/>
      <c r="I12" s="10"/>
      <c r="J12" s="10"/>
    </row>
    <row r="13" spans="3:10">
      <c r="C13" s="27"/>
      <c r="D13" s="28">
        <f>D9/18</f>
        <v>405.55555555555554</v>
      </c>
      <c r="E13" s="55" t="s">
        <v>41</v>
      </c>
      <c r="F13" s="29">
        <f>F9/18</f>
        <v>63.888888888888886</v>
      </c>
      <c r="G13" s="27"/>
      <c r="H13" s="27"/>
      <c r="I13" s="10"/>
      <c r="J13" s="10"/>
    </row>
    <row r="14" spans="3:10">
      <c r="C14" s="351" t="s">
        <v>78</v>
      </c>
      <c r="D14" s="351"/>
      <c r="E14" s="351"/>
      <c r="F14" s="351"/>
      <c r="G14" s="351"/>
      <c r="H14" s="351"/>
      <c r="I14" s="20"/>
      <c r="J14" s="20"/>
    </row>
    <row r="15" spans="3:10">
      <c r="C15" s="27" t="s">
        <v>42</v>
      </c>
      <c r="D15" s="28">
        <f>1000*(D12/D3)*(((2*D4)/8.2)^0.4)</f>
        <v>0.88539548099447529</v>
      </c>
      <c r="E15" s="55"/>
      <c r="F15" s="29">
        <f>1000*(F12/F3)*(((2*F4)/8.2)^0.4)</f>
        <v>0.13948011001967764</v>
      </c>
      <c r="G15" s="27"/>
      <c r="H15" s="27"/>
      <c r="I15" s="10"/>
      <c r="J15" s="10"/>
    </row>
    <row r="16" spans="3:10" ht="18.75">
      <c r="C16" s="27" t="s">
        <v>43</v>
      </c>
      <c r="D16" s="28">
        <f>(D15*D8*D3)/7.3</f>
        <v>244.51469721710441</v>
      </c>
      <c r="E16" s="55" t="s">
        <v>227</v>
      </c>
      <c r="F16" s="29">
        <f>(F15*F8*F3)/7.3</f>
        <v>38.519438602694535</v>
      </c>
      <c r="G16" s="27" t="s">
        <v>222</v>
      </c>
      <c r="H16" s="27"/>
      <c r="I16" s="10"/>
      <c r="J16" s="10"/>
    </row>
    <row r="17" spans="3:14" ht="16.5" thickBot="1">
      <c r="C17" s="27"/>
      <c r="D17" s="28"/>
      <c r="E17" s="55"/>
      <c r="F17" s="29"/>
      <c r="G17" s="27"/>
      <c r="H17" s="27"/>
      <c r="I17" s="10"/>
      <c r="J17" s="10"/>
    </row>
    <row r="18" spans="3:14" ht="15.75" customHeight="1">
      <c r="C18" s="353" t="s">
        <v>79</v>
      </c>
      <c r="D18" s="353"/>
      <c r="E18" s="353"/>
      <c r="F18" s="353"/>
      <c r="G18" s="353"/>
      <c r="H18" s="177" t="s">
        <v>80</v>
      </c>
      <c r="I18" s="178" t="s">
        <v>81</v>
      </c>
      <c r="J18" s="178" t="s">
        <v>82</v>
      </c>
      <c r="K18" s="179" t="s">
        <v>83</v>
      </c>
      <c r="L18" s="180" t="s">
        <v>84</v>
      </c>
    </row>
    <row r="19" spans="3:14" ht="18.75">
      <c r="C19" s="30" t="s">
        <v>44</v>
      </c>
      <c r="D19" s="31">
        <f>(D9*60)/D6</f>
        <v>14.646869983948635</v>
      </c>
      <c r="E19" s="32" t="s">
        <v>226</v>
      </c>
      <c r="F19" s="33">
        <f>(F9*60)/F6</f>
        <v>2.3073836276083468</v>
      </c>
      <c r="G19" s="56"/>
      <c r="H19" s="181">
        <v>20</v>
      </c>
      <c r="I19" s="189">
        <v>9</v>
      </c>
      <c r="J19" s="189">
        <v>4</v>
      </c>
      <c r="K19" s="176">
        <v>0.68</v>
      </c>
      <c r="L19" s="190">
        <v>7</v>
      </c>
    </row>
    <row r="20" spans="3:14" ht="18.75">
      <c r="C20" s="34" t="s">
        <v>45</v>
      </c>
      <c r="D20" s="35">
        <f>(D9/18)/(0.01*D7)</f>
        <v>8.5093486268475775</v>
      </c>
      <c r="E20" s="36" t="s">
        <v>230</v>
      </c>
      <c r="F20" s="37">
        <f>(F9/18)/(0.01*F7)</f>
        <v>1.340513824777358</v>
      </c>
      <c r="G20" s="57"/>
      <c r="H20" s="181">
        <v>12</v>
      </c>
      <c r="I20" s="189">
        <v>6</v>
      </c>
      <c r="J20" s="189">
        <v>3</v>
      </c>
      <c r="K20" s="189">
        <v>1</v>
      </c>
      <c r="L20" s="182"/>
    </row>
    <row r="21" spans="3:14" ht="19.5" thickBot="1">
      <c r="C21" s="34" t="s">
        <v>46</v>
      </c>
      <c r="D21" s="35">
        <f>D9/D7</f>
        <v>1.5316827528325641</v>
      </c>
      <c r="E21" s="38" t="s">
        <v>231</v>
      </c>
      <c r="F21" s="37">
        <f>F9/F7</f>
        <v>0.24129248845992446</v>
      </c>
      <c r="G21" s="58"/>
      <c r="H21" s="186">
        <v>1</v>
      </c>
      <c r="I21" s="187">
        <v>0.5</v>
      </c>
      <c r="J21" s="187">
        <v>0.1</v>
      </c>
      <c r="K21" s="188">
        <v>0.05</v>
      </c>
      <c r="L21" s="183"/>
    </row>
    <row r="22" spans="3:14">
      <c r="C22" s="71"/>
      <c r="D22" s="69"/>
      <c r="E22" s="69"/>
      <c r="F22" s="69"/>
      <c r="G22" s="57"/>
      <c r="H22" s="61"/>
      <c r="I22" s="59"/>
      <c r="J22" s="59"/>
      <c r="K22" s="60"/>
      <c r="L22" s="60"/>
    </row>
    <row r="23" spans="3:14">
      <c r="C23" s="355" t="s">
        <v>85</v>
      </c>
      <c r="D23" s="355"/>
      <c r="E23" s="355"/>
      <c r="F23" s="355"/>
      <c r="G23" s="355"/>
      <c r="H23" s="355"/>
      <c r="I23" s="20"/>
      <c r="J23" s="20"/>
    </row>
    <row r="24" spans="3:14">
      <c r="C24" s="27" t="s">
        <v>47</v>
      </c>
      <c r="D24" s="155">
        <f>1.08*D16*'House Details'!C4*24</f>
        <v>44035179.973574325</v>
      </c>
      <c r="E24" s="55" t="s">
        <v>31</v>
      </c>
      <c r="F24" s="156">
        <f>1.08*F16*'House Details'!C4*24</f>
        <v>6937048.8999466412</v>
      </c>
      <c r="G24" s="349" t="s">
        <v>224</v>
      </c>
      <c r="H24" s="349"/>
      <c r="I24" s="349"/>
      <c r="J24" s="10"/>
    </row>
    <row r="25" spans="3:14">
      <c r="C25" s="27"/>
      <c r="D25" s="155">
        <f>D24*I2</f>
        <v>12905.437312497999</v>
      </c>
      <c r="E25" s="55" t="s">
        <v>48</v>
      </c>
      <c r="F25" s="156">
        <f>F24*I2</f>
        <v>2033.048343749685</v>
      </c>
      <c r="G25" s="349"/>
      <c r="H25" s="349"/>
      <c r="I25" s="349"/>
      <c r="J25" s="10"/>
    </row>
    <row r="26" spans="3:14" ht="18" customHeight="1">
      <c r="C26" s="27"/>
      <c r="D26" s="155">
        <f>1.08*D16*('House Details'!C5-'House Details'!C7)</f>
        <v>17164.931744640729</v>
      </c>
      <c r="E26" s="55" t="s">
        <v>153</v>
      </c>
      <c r="F26" s="156">
        <f>1.08*F16*('House Details'!C5-'House Details'!C7)</f>
        <v>2704.0645899091564</v>
      </c>
      <c r="G26" s="349" t="s">
        <v>393</v>
      </c>
      <c r="H26" s="349"/>
      <c r="I26" s="349"/>
      <c r="J26" s="10"/>
    </row>
    <row r="27" spans="3:14">
      <c r="C27" s="27"/>
      <c r="D27" s="294">
        <f>D26*I2</f>
        <v>5.0305449128788249</v>
      </c>
      <c r="E27" s="55" t="s">
        <v>392</v>
      </c>
      <c r="F27" s="293">
        <f>F26*I2</f>
        <v>0.79248310271378763</v>
      </c>
      <c r="G27" s="235"/>
      <c r="H27" s="235"/>
      <c r="I27" s="235"/>
      <c r="J27" s="10"/>
    </row>
    <row r="28" spans="3:14" ht="15.75" customHeight="1">
      <c r="C28" s="354" t="s">
        <v>86</v>
      </c>
      <c r="D28" s="354"/>
      <c r="E28" s="354"/>
      <c r="F28" s="354"/>
      <c r="G28" s="354"/>
      <c r="H28" s="354"/>
      <c r="I28" s="354"/>
      <c r="J28" s="354"/>
    </row>
    <row r="29" spans="3:14">
      <c r="C29" s="27" t="s">
        <v>49</v>
      </c>
      <c r="D29" s="28">
        <f>(0.03*D3)+(7.5*'House Details'!E60)</f>
        <v>150.95999999999998</v>
      </c>
      <c r="E29" s="55" t="s">
        <v>39</v>
      </c>
      <c r="F29" s="29">
        <f>(0.03*F3)+(7.5*'House Details'!E60)</f>
        <v>150.95999999999998</v>
      </c>
      <c r="G29" s="27" t="s">
        <v>39</v>
      </c>
      <c r="H29" s="27" t="s">
        <v>225</v>
      </c>
      <c r="I29" s="10"/>
      <c r="J29" s="10"/>
    </row>
    <row r="30" spans="3:14">
      <c r="C30" s="27" t="s">
        <v>50</v>
      </c>
      <c r="D30" s="28">
        <f>IF(D29-D16&lt;=0,0,D29-D16)</f>
        <v>0</v>
      </c>
      <c r="E30" s="55" t="s">
        <v>39</v>
      </c>
      <c r="F30" s="29">
        <f>F29-F16</f>
        <v>112.44056139730544</v>
      </c>
      <c r="G30" s="27" t="s">
        <v>39</v>
      </c>
      <c r="H30" s="27" t="s">
        <v>221</v>
      </c>
      <c r="I30" s="10"/>
      <c r="J30" s="10"/>
    </row>
    <row r="31" spans="3:14">
      <c r="C31" s="352" t="s">
        <v>87</v>
      </c>
      <c r="D31" s="352"/>
      <c r="E31" s="352"/>
      <c r="F31" s="352"/>
      <c r="G31" s="352"/>
      <c r="H31" s="352"/>
      <c r="I31" s="39"/>
      <c r="J31" s="20"/>
    </row>
    <row r="32" spans="3:14" ht="15.75" customHeight="1">
      <c r="C32" s="350" t="s">
        <v>88</v>
      </c>
      <c r="D32" s="350"/>
      <c r="E32" s="350"/>
      <c r="F32" s="350"/>
      <c r="G32" s="350"/>
      <c r="H32" s="350"/>
      <c r="I32" s="350"/>
      <c r="J32" s="350"/>
      <c r="K32" s="350"/>
      <c r="L32" s="350"/>
      <c r="M32" s="350"/>
      <c r="N32" s="350"/>
    </row>
    <row r="33" spans="3:14" ht="47.25">
      <c r="C33" s="223" t="s">
        <v>52</v>
      </c>
      <c r="D33" s="229" t="s">
        <v>53</v>
      </c>
      <c r="E33" s="229" t="s">
        <v>51</v>
      </c>
      <c r="F33" s="223" t="s">
        <v>54</v>
      </c>
      <c r="G33" s="225" t="s">
        <v>55</v>
      </c>
      <c r="I33" s="10"/>
      <c r="J33" s="223" t="s">
        <v>52</v>
      </c>
      <c r="K33" s="224" t="s">
        <v>53</v>
      </c>
      <c r="L33" s="224" t="s">
        <v>51</v>
      </c>
      <c r="M33" s="223" t="s">
        <v>54</v>
      </c>
      <c r="N33" s="225" t="s">
        <v>55</v>
      </c>
    </row>
    <row r="34" spans="3:14" ht="35.25" customHeight="1">
      <c r="C34" s="226" t="s">
        <v>56</v>
      </c>
      <c r="D34" s="230">
        <v>0</v>
      </c>
      <c r="E34" s="230">
        <v>0.8</v>
      </c>
      <c r="F34" s="223"/>
      <c r="G34" s="158">
        <v>24</v>
      </c>
      <c r="I34" s="10"/>
      <c r="J34" s="226" t="s">
        <v>56</v>
      </c>
      <c r="K34" s="227">
        <v>0</v>
      </c>
      <c r="L34" s="227">
        <v>0.8</v>
      </c>
      <c r="M34" s="223"/>
      <c r="N34" s="158">
        <v>24</v>
      </c>
    </row>
    <row r="35" spans="3:14">
      <c r="C35" s="228" t="s">
        <v>57</v>
      </c>
      <c r="D35" s="230">
        <f>1.08*$D$30*'House Details'!E22*G34*(1-D34)</f>
        <v>0</v>
      </c>
      <c r="E35" s="230">
        <f>1.08*$D$30*'House Details'!E22*G34*(1-E34)</f>
        <v>0</v>
      </c>
      <c r="F35" s="223" t="s">
        <v>31</v>
      </c>
      <c r="G35" s="223"/>
      <c r="I35" s="10"/>
      <c r="J35" s="228" t="s">
        <v>57</v>
      </c>
      <c r="K35" s="227">
        <f>1.08*$F$30*'House Details'!E22*N34*(1-K34)</f>
        <v>0</v>
      </c>
      <c r="L35" s="227">
        <f>1.08*$F$30*'House Details'!E22*N34*(1-L34)</f>
        <v>0</v>
      </c>
      <c r="M35" s="223" t="s">
        <v>31</v>
      </c>
      <c r="N35" s="223"/>
    </row>
    <row r="36" spans="3:14">
      <c r="C36" s="228" t="s">
        <v>58</v>
      </c>
      <c r="D36" s="230">
        <f>D30/6</f>
        <v>0</v>
      </c>
      <c r="E36" s="230">
        <f>D30/2</f>
        <v>0</v>
      </c>
      <c r="F36" s="223" t="s">
        <v>59</v>
      </c>
      <c r="G36" s="223"/>
      <c r="I36" s="10"/>
      <c r="J36" s="228" t="s">
        <v>58</v>
      </c>
      <c r="K36" s="227">
        <f>F30/6</f>
        <v>18.740093566217574</v>
      </c>
      <c r="L36" s="227">
        <f>F30/2</f>
        <v>56.220280698652722</v>
      </c>
      <c r="M36" s="223" t="s">
        <v>59</v>
      </c>
      <c r="N36" s="223"/>
    </row>
    <row r="37" spans="3:14">
      <c r="C37" s="228" t="s">
        <v>60</v>
      </c>
      <c r="D37" s="230">
        <f>D36*G34*180</f>
        <v>0</v>
      </c>
      <c r="E37" s="230">
        <f>E36*G34*180</f>
        <v>0</v>
      </c>
      <c r="F37" s="223" t="s">
        <v>61</v>
      </c>
      <c r="G37" s="223"/>
      <c r="I37" s="10"/>
      <c r="J37" s="228" t="s">
        <v>60</v>
      </c>
      <c r="K37" s="227">
        <f>K36*N34*180</f>
        <v>80957.20420605992</v>
      </c>
      <c r="L37" s="227">
        <f>L36*N34*180</f>
        <v>242871.61261817976</v>
      </c>
      <c r="M37" s="223" t="s">
        <v>61</v>
      </c>
      <c r="N37" s="223"/>
    </row>
    <row r="38" spans="3:14">
      <c r="C38" s="228" t="s">
        <v>60</v>
      </c>
      <c r="D38" s="230">
        <f>D37*0.001</f>
        <v>0</v>
      </c>
      <c r="E38" s="230">
        <f>E37*0.001</f>
        <v>0</v>
      </c>
      <c r="F38" s="223" t="s">
        <v>25</v>
      </c>
      <c r="G38" s="223"/>
      <c r="I38" s="10"/>
      <c r="J38" s="228" t="s">
        <v>60</v>
      </c>
      <c r="K38" s="227">
        <f>K37*0.001</f>
        <v>80.957204206059927</v>
      </c>
      <c r="L38" s="227">
        <f>L37*0.001</f>
        <v>242.87161261817977</v>
      </c>
      <c r="M38" s="223" t="s">
        <v>25</v>
      </c>
      <c r="N38" s="223"/>
    </row>
    <row r="39" spans="3:14">
      <c r="C39" s="228" t="s">
        <v>57</v>
      </c>
      <c r="D39" s="230">
        <f>D35*$I$2</f>
        <v>0</v>
      </c>
      <c r="E39" s="230">
        <f>E35*$I$2</f>
        <v>0</v>
      </c>
      <c r="F39" s="223" t="s">
        <v>25</v>
      </c>
      <c r="G39" s="223"/>
      <c r="I39" s="10"/>
      <c r="J39" s="228" t="s">
        <v>57</v>
      </c>
      <c r="K39" s="227">
        <f>K35*$I$2</f>
        <v>0</v>
      </c>
      <c r="L39" s="227">
        <f>L35*$I$2</f>
        <v>0</v>
      </c>
      <c r="M39" s="223" t="s">
        <v>25</v>
      </c>
      <c r="N39" s="223"/>
    </row>
    <row r="40" spans="3:14">
      <c r="C40" s="228" t="s">
        <v>62</v>
      </c>
      <c r="D40" s="230">
        <f>D39+D38</f>
        <v>0</v>
      </c>
      <c r="E40" s="230">
        <f>E39+E38</f>
        <v>0</v>
      </c>
      <c r="F40" s="223" t="s">
        <v>25</v>
      </c>
      <c r="G40" s="223"/>
      <c r="I40" s="10"/>
      <c r="J40" s="228" t="s">
        <v>62</v>
      </c>
      <c r="K40" s="227">
        <f>K39+K38</f>
        <v>80.957204206059927</v>
      </c>
      <c r="L40" s="227">
        <f>L39+L38</f>
        <v>242.87161261817977</v>
      </c>
      <c r="M40" s="223" t="s">
        <v>25</v>
      </c>
      <c r="N40" s="223"/>
    </row>
    <row r="41" spans="3:14">
      <c r="C41" s="40"/>
      <c r="D41" s="40"/>
      <c r="E41" s="40"/>
      <c r="F41" s="40"/>
      <c r="I41" s="10"/>
      <c r="J41" s="10"/>
    </row>
    <row r="42" spans="3:14" ht="17.25" customHeight="1">
      <c r="C42" s="292"/>
      <c r="D42" s="292"/>
      <c r="E42" s="292"/>
      <c r="F42" s="292"/>
      <c r="G42" s="292"/>
      <c r="H42" s="292"/>
      <c r="I42" s="42"/>
      <c r="J42" s="20"/>
    </row>
    <row r="43" spans="3:14">
      <c r="C43" s="10"/>
      <c r="D43" s="10"/>
      <c r="E43" s="10"/>
      <c r="F43" s="10"/>
      <c r="G43" s="20"/>
      <c r="H43" s="44"/>
      <c r="I43" s="44"/>
      <c r="J43" s="10"/>
    </row>
    <row r="44" spans="3:14">
      <c r="C44" s="288"/>
      <c r="D44" s="69"/>
      <c r="E44" s="69"/>
      <c r="F44" s="10"/>
      <c r="G44" s="289"/>
      <c r="H44" s="10"/>
      <c r="I44" s="10"/>
      <c r="J44" s="10"/>
    </row>
    <row r="45" spans="3:14">
      <c r="C45" s="288"/>
      <c r="D45" s="69"/>
      <c r="E45" s="69"/>
      <c r="F45" s="10"/>
      <c r="G45" s="289"/>
      <c r="H45" s="290"/>
      <c r="I45" s="290"/>
      <c r="J45" s="290"/>
      <c r="K45" s="51"/>
    </row>
    <row r="46" spans="3:14">
      <c r="C46" s="288"/>
      <c r="D46" s="69"/>
      <c r="E46" s="69"/>
      <c r="F46" s="10"/>
      <c r="G46" s="289"/>
      <c r="H46" s="290"/>
      <c r="I46" s="290"/>
      <c r="J46" s="290"/>
      <c r="K46" s="51"/>
    </row>
    <row r="47" spans="3:14">
      <c r="C47" s="288"/>
      <c r="D47" s="69"/>
      <c r="E47" s="69"/>
      <c r="F47" s="10"/>
      <c r="G47" s="291"/>
      <c r="H47" s="290"/>
      <c r="I47" s="290"/>
      <c r="J47" s="290"/>
      <c r="K47" s="51"/>
    </row>
    <row r="48" spans="3:14">
      <c r="C48" s="288"/>
      <c r="D48" s="69"/>
      <c r="E48" s="69"/>
      <c r="F48" s="10"/>
      <c r="G48" s="289"/>
      <c r="H48" s="290"/>
      <c r="I48" s="290"/>
      <c r="J48" s="290"/>
      <c r="K48" s="51"/>
    </row>
    <row r="49" spans="3:11">
      <c r="C49" s="288"/>
      <c r="D49" s="69"/>
      <c r="E49" s="69"/>
      <c r="F49" s="10"/>
      <c r="G49" s="289"/>
      <c r="H49" s="290"/>
      <c r="I49" s="290"/>
      <c r="J49" s="290"/>
      <c r="K49" s="51"/>
    </row>
    <row r="50" spans="3:11">
      <c r="C50" s="288"/>
      <c r="D50" s="69"/>
      <c r="E50" s="69"/>
      <c r="F50" s="10"/>
      <c r="G50" s="289"/>
      <c r="H50" s="290"/>
      <c r="I50" s="290"/>
      <c r="J50" s="290"/>
      <c r="K50" s="51"/>
    </row>
    <row r="51" spans="3:11">
      <c r="C51" s="288"/>
      <c r="D51" s="69"/>
      <c r="E51" s="69"/>
      <c r="F51" s="10"/>
      <c r="G51" s="289"/>
      <c r="H51" s="290"/>
      <c r="I51" s="290"/>
      <c r="J51" s="290"/>
      <c r="K51" s="51"/>
    </row>
    <row r="52" spans="3:11">
      <c r="C52" s="288"/>
      <c r="D52" s="69"/>
      <c r="E52" s="69"/>
      <c r="F52" s="10"/>
      <c r="G52" s="289"/>
      <c r="H52" s="290"/>
      <c r="I52" s="290"/>
      <c r="J52" s="290"/>
      <c r="K52" s="51"/>
    </row>
    <row r="53" spans="3:11">
      <c r="C53" s="288"/>
      <c r="D53" s="69"/>
      <c r="E53" s="69"/>
      <c r="F53" s="10"/>
      <c r="G53" s="289"/>
      <c r="H53" s="290"/>
      <c r="I53" s="290"/>
      <c r="J53" s="290"/>
      <c r="K53" s="51"/>
    </row>
    <row r="54" spans="3:11">
      <c r="C54" s="288"/>
      <c r="D54" s="69"/>
      <c r="E54" s="69"/>
      <c r="F54" s="10"/>
      <c r="G54" s="289"/>
      <c r="H54" s="290"/>
      <c r="I54" s="290"/>
      <c r="J54" s="290"/>
      <c r="K54" s="51"/>
    </row>
    <row r="55" spans="3:11">
      <c r="C55" s="288"/>
      <c r="D55" s="69"/>
      <c r="E55" s="69"/>
      <c r="F55" s="10"/>
      <c r="G55" s="289"/>
      <c r="H55" s="290"/>
      <c r="I55" s="290"/>
      <c r="J55" s="290"/>
      <c r="K55" s="51"/>
    </row>
    <row r="56" spans="3:11">
      <c r="C56" s="288"/>
      <c r="D56" s="69"/>
      <c r="E56" s="69"/>
      <c r="F56" s="10"/>
      <c r="G56" s="290"/>
      <c r="H56" s="290"/>
      <c r="I56" s="290"/>
      <c r="J56" s="290"/>
      <c r="K56" s="51"/>
    </row>
    <row r="57" spans="3:11" ht="31.5" customHeight="1">
      <c r="C57" s="288"/>
      <c r="D57" s="69"/>
      <c r="E57" s="69"/>
      <c r="F57" s="10"/>
      <c r="G57" s="348"/>
      <c r="H57" s="348"/>
      <c r="I57" s="348"/>
      <c r="J57" s="348"/>
      <c r="K57" s="154"/>
    </row>
    <row r="58" spans="3:11">
      <c r="C58" s="10"/>
      <c r="D58" s="10"/>
      <c r="E58" s="10"/>
      <c r="F58" s="10"/>
      <c r="G58" s="348"/>
      <c r="H58" s="348"/>
      <c r="I58" s="348"/>
      <c r="J58" s="348"/>
      <c r="K58" s="154"/>
    </row>
    <row r="59" spans="3:11">
      <c r="C59" s="10"/>
      <c r="D59" s="10"/>
      <c r="E59" s="10"/>
      <c r="F59" s="10"/>
      <c r="G59" s="348"/>
      <c r="H59" s="348"/>
      <c r="I59" s="348"/>
      <c r="J59" s="348"/>
      <c r="K59" s="154"/>
    </row>
  </sheetData>
  <mergeCells count="9">
    <mergeCell ref="G57:J59"/>
    <mergeCell ref="G24:I25"/>
    <mergeCell ref="C32:N32"/>
    <mergeCell ref="C14:H14"/>
    <mergeCell ref="C31:H31"/>
    <mergeCell ref="C18:G18"/>
    <mergeCell ref="C28:J28"/>
    <mergeCell ref="C23:H23"/>
    <mergeCell ref="G26:I26"/>
  </mergeCells>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dimension ref="B1:AF61"/>
  <sheetViews>
    <sheetView topLeftCell="A24" workbookViewId="0">
      <selection activeCell="AA29" sqref="AA29"/>
    </sheetView>
  </sheetViews>
  <sheetFormatPr defaultRowHeight="15.75"/>
  <cols>
    <col min="1" max="1" width="2.625" customWidth="1"/>
    <col min="2" max="2" width="9.5" customWidth="1"/>
    <col min="3" max="3" width="8.625" customWidth="1"/>
    <col min="4" max="4" width="8.125" customWidth="1"/>
    <col min="5" max="5" width="12.125" customWidth="1"/>
    <col min="6" max="6" width="11.375" bestFit="1" customWidth="1"/>
    <col min="7" max="7" width="11" customWidth="1"/>
    <col min="9" max="9" width="0.75" customWidth="1"/>
    <col min="10" max="10" width="12.25" customWidth="1"/>
    <col min="11" max="11" width="11.75" customWidth="1"/>
    <col min="13" max="13" width="0.75" customWidth="1"/>
    <col min="14" max="14" width="11.125" bestFit="1" customWidth="1"/>
    <col min="15" max="15" width="11.25" customWidth="1"/>
    <col min="16" max="16" width="12" customWidth="1"/>
    <col min="17" max="17" width="10.875" customWidth="1"/>
    <col min="18" max="18" width="10.375" customWidth="1"/>
    <col min="19" max="19" width="4.5" customWidth="1"/>
    <col min="20" max="20" width="20.625" customWidth="1"/>
    <col min="21" max="23" width="10.125" customWidth="1"/>
    <col min="24" max="24" width="11.75" customWidth="1"/>
    <col min="25" max="25" width="8.625" customWidth="1"/>
    <col min="27" max="27" width="10.125" customWidth="1"/>
    <col min="29" max="29" width="17.625" customWidth="1"/>
  </cols>
  <sheetData>
    <row r="1" spans="2:18">
      <c r="O1" t="s">
        <v>24</v>
      </c>
      <c r="P1">
        <v>2.9307106999999999E-4</v>
      </c>
      <c r="Q1" t="s">
        <v>25</v>
      </c>
    </row>
    <row r="2" spans="2:18" ht="16.5" thickBot="1">
      <c r="O2" t="s">
        <v>30</v>
      </c>
      <c r="P2">
        <v>3412.1416300000001</v>
      </c>
      <c r="Q2" t="s">
        <v>31</v>
      </c>
    </row>
    <row r="3" spans="2:18">
      <c r="J3" s="356" t="s">
        <v>460</v>
      </c>
      <c r="K3" s="357"/>
      <c r="L3" s="358"/>
    </row>
    <row r="4" spans="2:18" ht="16.5" thickBot="1">
      <c r="J4" s="359"/>
      <c r="K4" s="360"/>
      <c r="L4" s="361"/>
    </row>
    <row r="5" spans="2:18" ht="16.5" thickBot="1"/>
    <row r="6" spans="2:18" ht="15.75" customHeight="1">
      <c r="E6" s="121"/>
      <c r="F6" s="367" t="s">
        <v>467</v>
      </c>
      <c r="G6" s="367"/>
      <c r="H6" s="367"/>
      <c r="I6" s="122"/>
      <c r="J6" s="366" t="s">
        <v>63</v>
      </c>
      <c r="K6" s="366"/>
      <c r="L6" s="366"/>
      <c r="M6" s="122"/>
      <c r="N6" s="365" t="s">
        <v>70</v>
      </c>
      <c r="O6" s="365"/>
      <c r="P6" s="365"/>
      <c r="Q6" s="123"/>
    </row>
    <row r="7" spans="2:18" ht="31.5">
      <c r="E7" s="111" t="s">
        <v>67</v>
      </c>
      <c r="F7" s="48" t="s">
        <v>64</v>
      </c>
      <c r="G7" s="48" t="s">
        <v>48</v>
      </c>
      <c r="H7" s="49" t="s">
        <v>68</v>
      </c>
      <c r="I7" s="124"/>
      <c r="J7" s="48" t="s">
        <v>64</v>
      </c>
      <c r="K7" s="48" t="s">
        <v>48</v>
      </c>
      <c r="L7" s="49" t="s">
        <v>68</v>
      </c>
      <c r="M7" s="124"/>
      <c r="N7" s="48" t="s">
        <v>64</v>
      </c>
      <c r="O7" s="48" t="s">
        <v>48</v>
      </c>
      <c r="P7" s="53" t="s">
        <v>72</v>
      </c>
      <c r="Q7" s="112" t="s">
        <v>71</v>
      </c>
    </row>
    <row r="8" spans="2:18">
      <c r="E8" s="113" t="s">
        <v>65</v>
      </c>
      <c r="F8" s="109">
        <f>Air!D24</f>
        <v>44035179.973574325</v>
      </c>
      <c r="G8" s="109">
        <f>F8*$P$1</f>
        <v>12905.437312497999</v>
      </c>
      <c r="H8" s="110">
        <f>G8/$G$12</f>
        <v>0.32264116195039838</v>
      </c>
      <c r="I8" s="125"/>
      <c r="J8" s="109">
        <f>Air!F24</f>
        <v>6937048.8999466412</v>
      </c>
      <c r="K8" s="109">
        <f>J8*$P$1</f>
        <v>2033.048343749685</v>
      </c>
      <c r="L8" s="110">
        <f>K8/$K$12</f>
        <v>7.4677474533889135E-2</v>
      </c>
      <c r="M8" s="64"/>
      <c r="N8" s="109">
        <f>F8-J8</f>
        <v>37098131.073627681</v>
      </c>
      <c r="O8" s="109">
        <f>G8-K8</f>
        <v>10872.388968748313</v>
      </c>
      <c r="P8" s="108">
        <f>O8/$O$12</f>
        <v>0.85106987090793917</v>
      </c>
      <c r="Q8" s="114">
        <f>O8/G8</f>
        <v>0.84246575342465746</v>
      </c>
    </row>
    <row r="9" spans="2:18">
      <c r="E9" s="113" t="s">
        <v>66</v>
      </c>
      <c r="F9" s="109">
        <f>Conduction!L66</f>
        <v>92448273.369381711</v>
      </c>
      <c r="G9" s="109">
        <f>F9*$P$1</f>
        <v>27093.914396017204</v>
      </c>
      <c r="H9" s="110">
        <f>G9/$G$12</f>
        <v>0.67735883804960151</v>
      </c>
      <c r="I9" s="125"/>
      <c r="J9" s="109">
        <f>Conduction!L88</f>
        <v>85127697.505682677</v>
      </c>
      <c r="K9" s="109">
        <f>J9*$P$1</f>
        <v>24948.465394626754</v>
      </c>
      <c r="L9" s="110">
        <f>K9/$K$12</f>
        <v>0.91640142001278591</v>
      </c>
      <c r="M9" s="64"/>
      <c r="N9" s="109">
        <f>F9-J9</f>
        <v>7320575.8636990339</v>
      </c>
      <c r="O9" s="109">
        <f>G9-K9</f>
        <v>2145.4490013904506</v>
      </c>
      <c r="P9" s="108">
        <f>O9/$O$12</f>
        <v>0.16794165568408173</v>
      </c>
      <c r="Q9" s="114">
        <f t="shared" ref="Q9" si="0">O9/G9</f>
        <v>7.9185641839402535E-2</v>
      </c>
    </row>
    <row r="10" spans="2:18">
      <c r="E10" s="111" t="s">
        <v>220</v>
      </c>
      <c r="F10" s="46">
        <f>G10*$P$2</f>
        <v>0</v>
      </c>
      <c r="G10" s="46">
        <f>MAX(Air!E40,0)</f>
        <v>0</v>
      </c>
      <c r="H10" s="50">
        <f>G10/$G$12</f>
        <v>0</v>
      </c>
      <c r="I10" s="126"/>
      <c r="J10" s="46">
        <f>K10*$P$2</f>
        <v>828712.34015972447</v>
      </c>
      <c r="K10" s="46">
        <f>MAX(Air!L40,0)</f>
        <v>242.87161261817977</v>
      </c>
      <c r="L10" s="50">
        <f>K10/$K$12</f>
        <v>8.9211054533250168E-3</v>
      </c>
      <c r="M10" s="124"/>
      <c r="N10" s="46">
        <f t="shared" ref="N10:N12" si="1">F10-J10</f>
        <v>-828712.34015972447</v>
      </c>
      <c r="O10" s="46">
        <f t="shared" ref="O10:O12" si="2">G10-K10</f>
        <v>-242.87161261817977</v>
      </c>
      <c r="P10" s="47">
        <f>O10/$O$12</f>
        <v>-1.901152659202127E-2</v>
      </c>
      <c r="Q10" s="115" t="s">
        <v>73</v>
      </c>
    </row>
    <row r="11" spans="2:18">
      <c r="E11" s="113"/>
      <c r="F11" s="109"/>
      <c r="G11" s="109"/>
      <c r="H11" s="110"/>
      <c r="I11" s="125"/>
      <c r="J11" s="109"/>
      <c r="K11" s="109"/>
      <c r="L11" s="110"/>
      <c r="M11" s="64"/>
      <c r="N11" s="109"/>
      <c r="O11" s="109"/>
      <c r="P11" s="108"/>
      <c r="Q11" s="114"/>
    </row>
    <row r="12" spans="2:18" ht="32.25" thickBot="1">
      <c r="E12" s="116" t="s">
        <v>74</v>
      </c>
      <c r="F12" s="117">
        <f>SUM(F8:F10)</f>
        <v>136483453.34295604</v>
      </c>
      <c r="G12" s="117">
        <f>SUM(G8:G10)</f>
        <v>39999.351708515205</v>
      </c>
      <c r="H12" s="118">
        <f>G12/$G$12</f>
        <v>1</v>
      </c>
      <c r="I12" s="127"/>
      <c r="J12" s="117">
        <f>SUM(J8:J10)</f>
        <v>92893458.745789051</v>
      </c>
      <c r="K12" s="117">
        <f>SUM(K8:K10)</f>
        <v>27224.385350994617</v>
      </c>
      <c r="L12" s="118">
        <f>K12/$K$12</f>
        <v>1</v>
      </c>
      <c r="M12" s="128"/>
      <c r="N12" s="117">
        <f t="shared" si="1"/>
        <v>43589994.597166985</v>
      </c>
      <c r="O12" s="117">
        <f t="shared" si="2"/>
        <v>12774.966357520589</v>
      </c>
      <c r="P12" s="119">
        <f>O12/$O$12</f>
        <v>1</v>
      </c>
      <c r="Q12" s="120">
        <f>O12/G12</f>
        <v>0.31937933521060063</v>
      </c>
    </row>
    <row r="13" spans="2:18" ht="16.5" thickBot="1">
      <c r="E13" s="104"/>
      <c r="F13" s="105"/>
      <c r="G13" s="105"/>
      <c r="H13" s="106"/>
      <c r="I13" s="107"/>
      <c r="J13" s="105"/>
      <c r="K13" s="105"/>
      <c r="L13" s="106"/>
      <c r="M13" s="13"/>
      <c r="N13" s="105"/>
      <c r="O13" s="105"/>
      <c r="P13" s="107"/>
      <c r="Q13" s="108"/>
    </row>
    <row r="14" spans="2:18" ht="16.5" thickBot="1">
      <c r="B14" s="147"/>
      <c r="C14" s="148"/>
      <c r="D14" s="149"/>
      <c r="E14" s="300"/>
      <c r="F14" s="368" t="s">
        <v>465</v>
      </c>
      <c r="G14" s="368"/>
      <c r="H14" s="368"/>
      <c r="I14" s="328"/>
      <c r="J14" s="368" t="s">
        <v>63</v>
      </c>
      <c r="K14" s="368"/>
      <c r="L14" s="368"/>
      <c r="M14" s="328"/>
      <c r="N14" s="368" t="s">
        <v>70</v>
      </c>
      <c r="O14" s="368"/>
      <c r="P14" s="368"/>
      <c r="Q14" s="368"/>
      <c r="R14" s="369"/>
    </row>
    <row r="15" spans="2:18" ht="31.5">
      <c r="B15" s="299"/>
      <c r="C15" s="48" t="s">
        <v>205</v>
      </c>
      <c r="D15" s="48"/>
      <c r="E15" s="298"/>
      <c r="F15" s="295" t="s">
        <v>210</v>
      </c>
      <c r="G15" s="140" t="s">
        <v>394</v>
      </c>
      <c r="H15" s="142" t="s">
        <v>215</v>
      </c>
      <c r="I15" s="122"/>
      <c r="J15" s="139" t="s">
        <v>210</v>
      </c>
      <c r="K15" s="140" t="s">
        <v>75</v>
      </c>
      <c r="L15" s="142" t="s">
        <v>214</v>
      </c>
      <c r="M15" s="122"/>
      <c r="N15" s="139" t="s">
        <v>210</v>
      </c>
      <c r="O15" s="140" t="s">
        <v>75</v>
      </c>
      <c r="P15" s="142" t="s">
        <v>213</v>
      </c>
      <c r="Q15" s="141" t="s">
        <v>76</v>
      </c>
      <c r="R15" s="143" t="s">
        <v>77</v>
      </c>
    </row>
    <row r="16" spans="2:18">
      <c r="B16" s="11" t="s">
        <v>206</v>
      </c>
      <c r="C16" s="108">
        <v>0.8</v>
      </c>
      <c r="D16" s="7">
        <v>138000</v>
      </c>
      <c r="E16" s="129" t="s">
        <v>202</v>
      </c>
      <c r="F16" s="296">
        <f>F12/D$16*C16</f>
        <v>791.20842517655683</v>
      </c>
      <c r="G16" s="168">
        <v>2.92</v>
      </c>
      <c r="H16" s="130">
        <f>F16*G16</f>
        <v>2310.3286015155459</v>
      </c>
      <c r="I16" s="131"/>
      <c r="J16" s="88">
        <f t="shared" ref="J16:N16" si="3">J12/$D$16*0.8</f>
        <v>538.5128043234148</v>
      </c>
      <c r="K16" s="170">
        <f>G16</f>
        <v>2.92</v>
      </c>
      <c r="L16" s="130">
        <f>K16*J16</f>
        <v>1572.4573886243711</v>
      </c>
      <c r="M16" s="131"/>
      <c r="N16" s="88">
        <f t="shared" si="3"/>
        <v>252.69562085314197</v>
      </c>
      <c r="O16" s="170">
        <f>G16</f>
        <v>2.92</v>
      </c>
      <c r="P16" s="130">
        <f>O16*N16</f>
        <v>737.87121289117454</v>
      </c>
      <c r="Q16" s="130">
        <f>(P16*$P$8)+(P16*$P$10)</f>
        <v>613.95189971660886</v>
      </c>
      <c r="R16" s="144">
        <f>(P16*$P$9)</f>
        <v>123.9193131745654</v>
      </c>
    </row>
    <row r="17" spans="2:18">
      <c r="B17" s="11" t="s">
        <v>207</v>
      </c>
      <c r="C17" s="108">
        <v>0.95</v>
      </c>
      <c r="D17" s="7">
        <v>100000</v>
      </c>
      <c r="E17" s="129" t="s">
        <v>203</v>
      </c>
      <c r="F17" s="296">
        <f>F12/$D$17*C17</f>
        <v>1296.5928067580824</v>
      </c>
      <c r="G17" s="168">
        <v>1.2150000000000001</v>
      </c>
      <c r="H17" s="130">
        <f t="shared" ref="H17:H20" si="4">F17*G17</f>
        <v>1575.3602602110702</v>
      </c>
      <c r="I17" s="131"/>
      <c r="J17" s="88">
        <f t="shared" ref="J17:N17" si="5">J12/$D$17*0.95</f>
        <v>882.48785808499599</v>
      </c>
      <c r="K17" s="170">
        <f>G17</f>
        <v>1.2150000000000001</v>
      </c>
      <c r="L17" s="130">
        <f t="shared" ref="L17:L20" si="6">K17*J17</f>
        <v>1072.2227475732702</v>
      </c>
      <c r="M17" s="131"/>
      <c r="N17" s="88">
        <f t="shared" si="5"/>
        <v>414.10494867308637</v>
      </c>
      <c r="O17" s="170">
        <f>G17</f>
        <v>1.2150000000000001</v>
      </c>
      <c r="P17" s="130">
        <f t="shared" ref="P17:P20" si="7">O17*N17</f>
        <v>503.13751263779994</v>
      </c>
      <c r="Q17" s="130">
        <f t="shared" ref="Q17:Q20" si="8">(P17*$P$8)+(P17*$P$10)</f>
        <v>418.63976572863703</v>
      </c>
      <c r="R17" s="144">
        <f t="shared" ref="R17:R20" si="9">(P17*$P$9)</f>
        <v>84.497746909162714</v>
      </c>
    </row>
    <row r="18" spans="2:18">
      <c r="B18" s="11" t="s">
        <v>208</v>
      </c>
      <c r="C18" s="108">
        <v>0.95</v>
      </c>
      <c r="D18" s="7">
        <v>91000</v>
      </c>
      <c r="E18" s="129" t="s">
        <v>202</v>
      </c>
      <c r="F18" s="296">
        <f>F12/$D$18*C18</f>
        <v>1424.8272601737167</v>
      </c>
      <c r="G18" s="168">
        <v>1.002</v>
      </c>
      <c r="H18" s="130">
        <f t="shared" si="4"/>
        <v>1427.6769146940642</v>
      </c>
      <c r="I18" s="131"/>
      <c r="J18" s="88">
        <f t="shared" ref="J18:N18" si="10">J12/$D$18*0.95</f>
        <v>969.76687701647904</v>
      </c>
      <c r="K18" s="170">
        <f>G18</f>
        <v>1.002</v>
      </c>
      <c r="L18" s="130">
        <f t="shared" si="6"/>
        <v>971.70641077051198</v>
      </c>
      <c r="M18" s="131"/>
      <c r="N18" s="88">
        <f t="shared" si="10"/>
        <v>455.06038315723771</v>
      </c>
      <c r="O18" s="170">
        <f>G18</f>
        <v>1.002</v>
      </c>
      <c r="P18" s="130">
        <f t="shared" si="7"/>
        <v>455.9705039235522</v>
      </c>
      <c r="Q18" s="130">
        <f t="shared" si="8"/>
        <v>379.39406255152556</v>
      </c>
      <c r="R18" s="144">
        <f t="shared" si="9"/>
        <v>76.576441372026437</v>
      </c>
    </row>
    <row r="19" spans="2:18">
      <c r="B19" s="11" t="s">
        <v>209</v>
      </c>
      <c r="C19" s="108">
        <v>1</v>
      </c>
      <c r="D19" s="7">
        <v>3412</v>
      </c>
      <c r="E19" s="129" t="s">
        <v>204</v>
      </c>
      <c r="F19" s="296">
        <f>F12/$D$19*C19</f>
        <v>40001.012116927326</v>
      </c>
      <c r="G19" s="168">
        <v>0.1212</v>
      </c>
      <c r="H19" s="130">
        <f t="shared" si="4"/>
        <v>4848.1226685715919</v>
      </c>
      <c r="I19" s="131"/>
      <c r="J19" s="88">
        <f t="shared" ref="J19:N19" si="11">J12/$D$19*1</f>
        <v>27225.515458906521</v>
      </c>
      <c r="K19" s="170">
        <f>G19</f>
        <v>0.1212</v>
      </c>
      <c r="L19" s="130">
        <f t="shared" si="6"/>
        <v>3299.7324736194705</v>
      </c>
      <c r="M19" s="131"/>
      <c r="N19" s="88">
        <f t="shared" si="11"/>
        <v>12775.496658020804</v>
      </c>
      <c r="O19" s="170">
        <f>G19</f>
        <v>0.1212</v>
      </c>
      <c r="P19" s="130">
        <f t="shared" si="7"/>
        <v>1548.3901949521214</v>
      </c>
      <c r="Q19" s="130">
        <f t="shared" si="8"/>
        <v>1288.3509819668636</v>
      </c>
      <c r="R19" s="144">
        <f t="shared" si="9"/>
        <v>260.03921298525734</v>
      </c>
    </row>
    <row r="20" spans="2:18" ht="16.5" thickBot="1">
      <c r="B20" s="17" t="s">
        <v>209</v>
      </c>
      <c r="C20" s="132">
        <v>3</v>
      </c>
      <c r="D20" s="15">
        <v>3412</v>
      </c>
      <c r="E20" s="133" t="s">
        <v>204</v>
      </c>
      <c r="F20" s="297">
        <f>F12/$D$20/C20</f>
        <v>13333.670705642442</v>
      </c>
      <c r="G20" s="169">
        <v>0.1212</v>
      </c>
      <c r="H20" s="135">
        <f t="shared" si="4"/>
        <v>1616.0408895238641</v>
      </c>
      <c r="I20" s="136"/>
      <c r="J20" s="134">
        <f>J12/$D$20/33</f>
        <v>825.01561996686428</v>
      </c>
      <c r="K20" s="171">
        <f>G20</f>
        <v>0.1212</v>
      </c>
      <c r="L20" s="135">
        <f t="shared" si="6"/>
        <v>99.991893139983958</v>
      </c>
      <c r="M20" s="136"/>
      <c r="N20" s="134">
        <f>N12/$D$20/3</f>
        <v>4258.4988860069343</v>
      </c>
      <c r="O20" s="171">
        <f>G20</f>
        <v>0.1212</v>
      </c>
      <c r="P20" s="135">
        <f t="shared" si="7"/>
        <v>516.13006498404047</v>
      </c>
      <c r="Q20" s="135">
        <f t="shared" si="8"/>
        <v>429.45032732228788</v>
      </c>
      <c r="R20" s="145">
        <f t="shared" si="9"/>
        <v>86.679737661752455</v>
      </c>
    </row>
    <row r="21" spans="2:18" ht="16.5" thickBot="1"/>
    <row r="22" spans="2:18" ht="21" customHeight="1" thickBot="1">
      <c r="E22" s="362" t="s">
        <v>466</v>
      </c>
      <c r="F22" s="363"/>
      <c r="G22" s="363"/>
      <c r="H22" s="363"/>
      <c r="I22" s="329"/>
      <c r="J22" s="363" t="s">
        <v>63</v>
      </c>
      <c r="K22" s="363"/>
      <c r="L22" s="363"/>
      <c r="M22" s="329"/>
      <c r="N22" s="363" t="s">
        <v>70</v>
      </c>
      <c r="O22" s="363"/>
      <c r="P22" s="363"/>
      <c r="Q22" s="363"/>
      <c r="R22" s="364"/>
    </row>
    <row r="23" spans="2:18" ht="60" customHeight="1">
      <c r="E23" s="137"/>
      <c r="F23" s="138" t="s">
        <v>205</v>
      </c>
      <c r="G23" s="142" t="s">
        <v>212</v>
      </c>
      <c r="H23" s="138"/>
      <c r="I23" s="122"/>
      <c r="J23" s="138"/>
      <c r="K23" s="142" t="s">
        <v>212</v>
      </c>
      <c r="L23" s="138"/>
      <c r="M23" s="122"/>
      <c r="N23" s="142" t="s">
        <v>260</v>
      </c>
      <c r="O23" s="172" t="s">
        <v>261</v>
      </c>
      <c r="P23" s="142" t="s">
        <v>211</v>
      </c>
      <c r="Q23" s="142" t="s">
        <v>262</v>
      </c>
      <c r="R23" s="146"/>
    </row>
    <row r="24" spans="2:18">
      <c r="E24" s="11" t="s">
        <v>206</v>
      </c>
      <c r="F24" s="108">
        <v>0.8</v>
      </c>
      <c r="G24" s="130">
        <f>H16/'House Details'!$F$58</f>
        <v>0.57299816505841916</v>
      </c>
      <c r="H24" s="7"/>
      <c r="I24" s="64"/>
      <c r="J24" s="7"/>
      <c r="K24" s="130">
        <f>L16/'House Details'!$F$58</f>
        <v>0.3899943920199333</v>
      </c>
      <c r="L24" s="7"/>
      <c r="M24" s="64"/>
      <c r="N24" s="220">
        <f>Takeoff!$F$34</f>
        <v>1165.636666666669</v>
      </c>
      <c r="O24" s="173">
        <f>N24/P16</f>
        <v>1.579729153681706</v>
      </c>
      <c r="P24" s="130">
        <f>P16/'House Details'!$F$58</f>
        <v>0.18300377303848575</v>
      </c>
      <c r="Q24" s="130">
        <f>N24/'House Details'!$F$58</f>
        <v>0.2890963955026461</v>
      </c>
      <c r="R24" s="144"/>
    </row>
    <row r="25" spans="2:18">
      <c r="E25" s="11" t="s">
        <v>207</v>
      </c>
      <c r="F25" s="108">
        <v>0.95</v>
      </c>
      <c r="G25" s="130">
        <f>H17/'House Details'!$F$58</f>
        <v>0.39071435025076146</v>
      </c>
      <c r="H25" s="7"/>
      <c r="I25" s="64"/>
      <c r="J25" s="7"/>
      <c r="K25" s="130">
        <f>L17/'House Details'!$F$58</f>
        <v>0.26592826080686266</v>
      </c>
      <c r="L25" s="7"/>
      <c r="M25" s="64"/>
      <c r="N25" s="220">
        <f>Takeoff!$F$34</f>
        <v>1165.636666666669</v>
      </c>
      <c r="O25" s="173">
        <f t="shared" ref="O25:O28" si="12">N25/P17</f>
        <v>2.3167357578956569</v>
      </c>
      <c r="P25" s="130">
        <f>P17/'House Details'!$F$58</f>
        <v>0.1247860894438988</v>
      </c>
      <c r="Q25" s="130">
        <f>N25/'House Details'!$F$58</f>
        <v>0.2890963955026461</v>
      </c>
      <c r="R25" s="144"/>
    </row>
    <row r="26" spans="2:18">
      <c r="E26" s="11" t="s">
        <v>208</v>
      </c>
      <c r="F26" s="108">
        <v>0.95</v>
      </c>
      <c r="G26" s="130">
        <f>H18/'House Details'!$F$58</f>
        <v>0.35408653638245641</v>
      </c>
      <c r="H26" s="7"/>
      <c r="I26" s="64"/>
      <c r="J26" s="7"/>
      <c r="K26" s="130">
        <f>L18/'House Details'!$F$58</f>
        <v>0.24099861378236903</v>
      </c>
      <c r="L26" s="7"/>
      <c r="M26" s="64"/>
      <c r="N26" s="220">
        <f>Takeoff!$F$34</f>
        <v>1165.636666666669</v>
      </c>
      <c r="O26" s="173">
        <f t="shared" si="12"/>
        <v>2.5563861184803724</v>
      </c>
      <c r="P26" s="130">
        <f>P18/'House Details'!$F$58</f>
        <v>0.11308792260008735</v>
      </c>
      <c r="Q26" s="130">
        <f>N26/'House Details'!$F$58</f>
        <v>0.2890963955026461</v>
      </c>
      <c r="R26" s="144"/>
    </row>
    <row r="27" spans="2:18">
      <c r="E27" s="11" t="s">
        <v>209</v>
      </c>
      <c r="F27" s="108">
        <v>1</v>
      </c>
      <c r="G27" s="130">
        <f>H19/'House Details'!$F$58</f>
        <v>1.2024113761338273</v>
      </c>
      <c r="H27" s="7"/>
      <c r="I27" s="64"/>
      <c r="J27" s="7"/>
      <c r="K27" s="130">
        <f>L19/'House Details'!$F$58</f>
        <v>0.81838603016355915</v>
      </c>
      <c r="L27" s="7"/>
      <c r="M27" s="64"/>
      <c r="N27" s="220">
        <f>Takeoff!$F$34</f>
        <v>1165.636666666669</v>
      </c>
      <c r="O27" s="173">
        <f t="shared" si="12"/>
        <v>0.75280550759539799</v>
      </c>
      <c r="P27" s="130">
        <f>P19/'House Details'!$F$58</f>
        <v>0.38402534597026822</v>
      </c>
      <c r="Q27" s="130">
        <f>N27/'House Details'!$F$58</f>
        <v>0.2890963955026461</v>
      </c>
      <c r="R27" s="144"/>
    </row>
    <row r="28" spans="2:18">
      <c r="E28" s="299" t="s">
        <v>209</v>
      </c>
      <c r="F28" s="47">
        <v>3</v>
      </c>
      <c r="G28" s="320">
        <f>H20/'House Details'!$F$58</f>
        <v>0.40080379204460914</v>
      </c>
      <c r="H28" s="48"/>
      <c r="I28" s="124"/>
      <c r="J28" s="48"/>
      <c r="K28" s="320">
        <f>L20/'House Details'!$F$58</f>
        <v>2.4799576671623004E-2</v>
      </c>
      <c r="L28" s="48"/>
      <c r="M28" s="124"/>
      <c r="N28" s="321">
        <f>Takeoff!$F$34</f>
        <v>1165.636666666669</v>
      </c>
      <c r="O28" s="322">
        <f t="shared" si="12"/>
        <v>2.2584165227861939</v>
      </c>
      <c r="P28" s="320">
        <f>P20/'House Details'!$F$58</f>
        <v>0.12800844865675606</v>
      </c>
      <c r="Q28" s="320">
        <f>N28/'House Details'!$F$58</f>
        <v>0.2890963955026461</v>
      </c>
      <c r="R28" s="323"/>
    </row>
    <row r="29" spans="2:18" ht="16.5" thickBot="1">
      <c r="E29" s="17" t="s">
        <v>442</v>
      </c>
      <c r="F29" s="132"/>
      <c r="G29" s="135">
        <f>SUM(G24:G28)/5</f>
        <v>0.58420284397401478</v>
      </c>
      <c r="H29" s="135"/>
      <c r="I29" s="136"/>
      <c r="J29" s="135"/>
      <c r="K29" s="135">
        <f t="shared" ref="K29:Q29" si="13">SUM(K24:K28)/5</f>
        <v>0.34802137468886946</v>
      </c>
      <c r="L29" s="135"/>
      <c r="M29" s="136"/>
      <c r="N29" s="327">
        <f t="shared" si="13"/>
        <v>1165.636666666669</v>
      </c>
      <c r="O29" s="324">
        <f t="shared" si="13"/>
        <v>1.8928146120878655</v>
      </c>
      <c r="P29" s="135">
        <f t="shared" si="13"/>
        <v>0.18658231594189925</v>
      </c>
      <c r="Q29" s="135">
        <f t="shared" si="13"/>
        <v>0.2890963955026461</v>
      </c>
      <c r="R29" s="145"/>
    </row>
    <row r="31" spans="2:18">
      <c r="E31" t="s">
        <v>395</v>
      </c>
    </row>
    <row r="32" spans="2:18" ht="16.5" thickBot="1"/>
    <row r="33" spans="20:32" ht="78.75">
      <c r="T33" s="325" t="s">
        <v>443</v>
      </c>
      <c r="U33" s="332" t="s">
        <v>470</v>
      </c>
      <c r="V33" s="332" t="s">
        <v>474</v>
      </c>
      <c r="W33" s="332" t="s">
        <v>472</v>
      </c>
      <c r="X33" s="142" t="s">
        <v>260</v>
      </c>
      <c r="Y33" s="172" t="s">
        <v>444</v>
      </c>
      <c r="Z33" s="142" t="s">
        <v>211</v>
      </c>
      <c r="AA33" s="146" t="s">
        <v>262</v>
      </c>
      <c r="AC33" s="325" t="s">
        <v>443</v>
      </c>
      <c r="AD33" s="332" t="s">
        <v>487</v>
      </c>
      <c r="AE33" s="332" t="s">
        <v>472</v>
      </c>
      <c r="AF33" s="371" t="s">
        <v>444</v>
      </c>
    </row>
    <row r="34" spans="20:32">
      <c r="T34" s="96" t="s">
        <v>441</v>
      </c>
      <c r="U34" s="10" t="s">
        <v>478</v>
      </c>
      <c r="V34" s="7" t="s">
        <v>484</v>
      </c>
      <c r="W34" s="335">
        <v>0.158</v>
      </c>
      <c r="X34" s="330">
        <v>1826.89</v>
      </c>
      <c r="Y34" s="10">
        <v>8.5</v>
      </c>
      <c r="Z34" s="220">
        <v>0.18</v>
      </c>
      <c r="AA34" s="331">
        <v>1.27</v>
      </c>
      <c r="AC34" s="96" t="s">
        <v>441</v>
      </c>
      <c r="AD34" s="7" t="s">
        <v>476</v>
      </c>
      <c r="AE34" s="335">
        <v>0.158</v>
      </c>
      <c r="AF34" s="259">
        <v>8.5</v>
      </c>
    </row>
    <row r="35" spans="20:32">
      <c r="T35" s="11" t="s">
        <v>445</v>
      </c>
      <c r="U35" s="10" t="s">
        <v>479</v>
      </c>
      <c r="V35" s="7" t="s">
        <v>485</v>
      </c>
      <c r="W35" s="335">
        <v>0.158</v>
      </c>
      <c r="X35" s="330">
        <v>1826.89</v>
      </c>
      <c r="Y35" s="10">
        <v>14.4</v>
      </c>
      <c r="Z35" s="220">
        <v>0.11</v>
      </c>
      <c r="AA35" s="331">
        <v>1.27</v>
      </c>
      <c r="AC35" s="11" t="s">
        <v>445</v>
      </c>
      <c r="AD35" s="7" t="s">
        <v>476</v>
      </c>
      <c r="AE35" s="334">
        <v>0.25600000000000001</v>
      </c>
      <c r="AF35" s="12">
        <v>7.3</v>
      </c>
    </row>
    <row r="36" spans="20:32">
      <c r="T36" s="96"/>
      <c r="U36" s="10" t="s">
        <v>480</v>
      </c>
      <c r="V36" s="7" t="s">
        <v>486</v>
      </c>
      <c r="W36" s="335">
        <v>0.158</v>
      </c>
      <c r="X36" s="330">
        <v>1826.89</v>
      </c>
      <c r="Y36" s="10">
        <v>6.3</v>
      </c>
      <c r="Z36" s="220">
        <v>0.25</v>
      </c>
      <c r="AA36" s="331">
        <v>1.27</v>
      </c>
      <c r="AC36" s="96"/>
      <c r="AD36" s="7" t="s">
        <v>476</v>
      </c>
      <c r="AE36" s="335">
        <v>0.315</v>
      </c>
      <c r="AF36" s="259">
        <v>6.5</v>
      </c>
    </row>
    <row r="37" spans="20:32">
      <c r="T37" s="96"/>
      <c r="U37" s="10" t="s">
        <v>478</v>
      </c>
      <c r="V37" s="7" t="s">
        <v>484</v>
      </c>
      <c r="W37" s="334">
        <v>0.25600000000000001</v>
      </c>
      <c r="X37" s="330">
        <v>1522.81</v>
      </c>
      <c r="Y37" s="7">
        <v>7.3</v>
      </c>
      <c r="Z37" s="330">
        <v>0.18</v>
      </c>
      <c r="AA37" s="331">
        <v>1.06</v>
      </c>
      <c r="AC37" s="96"/>
      <c r="AD37" s="7" t="s">
        <v>475</v>
      </c>
      <c r="AE37" s="335">
        <v>0.158</v>
      </c>
      <c r="AF37" s="259">
        <v>14.4</v>
      </c>
    </row>
    <row r="38" spans="20:32">
      <c r="T38" s="96"/>
      <c r="U38" s="10" t="s">
        <v>479</v>
      </c>
      <c r="V38" s="7" t="s">
        <v>485</v>
      </c>
      <c r="W38" s="334">
        <v>0.25600000000000001</v>
      </c>
      <c r="X38" s="330">
        <v>1522.81</v>
      </c>
      <c r="Y38" s="333">
        <v>12.6</v>
      </c>
      <c r="Z38" s="220">
        <v>0.1</v>
      </c>
      <c r="AA38" s="331">
        <v>1.06</v>
      </c>
      <c r="AC38" s="96"/>
      <c r="AD38" s="7" t="s">
        <v>475</v>
      </c>
      <c r="AE38" s="334">
        <v>0.25600000000000001</v>
      </c>
      <c r="AF38" s="372">
        <v>12.6</v>
      </c>
    </row>
    <row r="39" spans="20:32">
      <c r="T39" s="96"/>
      <c r="U39" s="10" t="s">
        <v>480</v>
      </c>
      <c r="V39" s="7" t="s">
        <v>486</v>
      </c>
      <c r="W39" s="334">
        <v>0.25600000000000001</v>
      </c>
      <c r="X39" s="330">
        <v>1522.81</v>
      </c>
      <c r="Y39" s="7">
        <v>5.4</v>
      </c>
      <c r="Z39" s="330">
        <v>0.24</v>
      </c>
      <c r="AA39" s="331">
        <v>1.06</v>
      </c>
      <c r="AC39" s="96"/>
      <c r="AD39" s="7" t="s">
        <v>475</v>
      </c>
      <c r="AE39" s="335">
        <v>0.315</v>
      </c>
      <c r="AF39" s="373">
        <v>11.4</v>
      </c>
    </row>
    <row r="40" spans="20:32">
      <c r="T40" s="96"/>
      <c r="U40" s="10" t="s">
        <v>478</v>
      </c>
      <c r="V40" s="7" t="s">
        <v>484</v>
      </c>
      <c r="W40" s="335">
        <v>0.315</v>
      </c>
      <c r="X40" s="330">
        <v>1340.65</v>
      </c>
      <c r="Y40" s="10">
        <v>6.5</v>
      </c>
      <c r="Z40" s="220">
        <v>0.17</v>
      </c>
      <c r="AA40" s="331">
        <v>0.93</v>
      </c>
      <c r="AC40" s="96"/>
      <c r="AD40" s="7" t="s">
        <v>477</v>
      </c>
      <c r="AE40" s="335">
        <v>0.158</v>
      </c>
      <c r="AF40" s="259">
        <v>6.3</v>
      </c>
    </row>
    <row r="41" spans="20:32">
      <c r="T41" s="96"/>
      <c r="U41" s="10" t="s">
        <v>479</v>
      </c>
      <c r="V41" s="7" t="s">
        <v>485</v>
      </c>
      <c r="W41" s="335">
        <v>0.315</v>
      </c>
      <c r="X41" s="330">
        <v>1340.65</v>
      </c>
      <c r="Y41" s="336">
        <v>11.4</v>
      </c>
      <c r="Z41" s="220">
        <v>0.1</v>
      </c>
      <c r="AA41" s="331">
        <v>0.93</v>
      </c>
      <c r="AC41" s="96"/>
      <c r="AD41" s="7" t="s">
        <v>477</v>
      </c>
      <c r="AE41" s="334">
        <v>0.25600000000000001</v>
      </c>
      <c r="AF41" s="12">
        <v>5.4</v>
      </c>
    </row>
    <row r="42" spans="20:32">
      <c r="T42" s="11"/>
      <c r="U42" s="10" t="s">
        <v>480</v>
      </c>
      <c r="V42" s="7" t="s">
        <v>486</v>
      </c>
      <c r="W42" s="335">
        <v>0.315</v>
      </c>
      <c r="X42" s="330">
        <v>1340.65</v>
      </c>
      <c r="Y42" s="7">
        <v>4.8</v>
      </c>
      <c r="Z42" s="330">
        <v>0.24</v>
      </c>
      <c r="AA42" s="331">
        <v>0.93</v>
      </c>
      <c r="AC42" s="11"/>
      <c r="AD42" s="7" t="s">
        <v>477</v>
      </c>
      <c r="AE42" s="335">
        <v>0.315</v>
      </c>
      <c r="AF42" s="12">
        <v>4.8</v>
      </c>
    </row>
    <row r="43" spans="20:32">
      <c r="T43" s="96" t="s">
        <v>446</v>
      </c>
      <c r="U43" s="10" t="s">
        <v>481</v>
      </c>
      <c r="V43" s="7" t="s">
        <v>484</v>
      </c>
      <c r="W43" s="335">
        <v>0.158</v>
      </c>
      <c r="X43" s="330">
        <v>2202.44</v>
      </c>
      <c r="Y43" s="10">
        <v>4.8</v>
      </c>
      <c r="Z43" s="220">
        <v>0.14000000000000001</v>
      </c>
      <c r="AA43" s="331">
        <v>0.55000000000000004</v>
      </c>
      <c r="AC43" s="96" t="s">
        <v>446</v>
      </c>
      <c r="AD43" s="7" t="s">
        <v>476</v>
      </c>
      <c r="AE43" s="335">
        <v>0.158</v>
      </c>
      <c r="AF43" s="259">
        <v>4.8</v>
      </c>
    </row>
    <row r="44" spans="20:32">
      <c r="T44" s="11" t="s">
        <v>462</v>
      </c>
      <c r="U44" s="10" t="s">
        <v>482</v>
      </c>
      <c r="V44" s="7" t="s">
        <v>485</v>
      </c>
      <c r="W44" s="335">
        <v>0.158</v>
      </c>
      <c r="X44" s="330">
        <v>2202.44</v>
      </c>
      <c r="Y44" s="10">
        <v>8.5</v>
      </c>
      <c r="Z44" s="220">
        <v>0.08</v>
      </c>
      <c r="AA44" s="331">
        <v>0.55000000000000004</v>
      </c>
      <c r="AC44" s="11" t="s">
        <v>462</v>
      </c>
      <c r="AD44" s="7" t="s">
        <v>476</v>
      </c>
      <c r="AE44" s="334">
        <v>0.25600000000000001</v>
      </c>
      <c r="AF44" s="12">
        <v>3.4</v>
      </c>
    </row>
    <row r="45" spans="20:32">
      <c r="T45" s="96"/>
      <c r="U45" s="10" t="s">
        <v>483</v>
      </c>
      <c r="V45" s="7" t="s">
        <v>486</v>
      </c>
      <c r="W45" s="335">
        <v>0.158</v>
      </c>
      <c r="X45" s="330">
        <v>2202.44</v>
      </c>
      <c r="Y45" s="10">
        <v>3.5</v>
      </c>
      <c r="Z45" s="220">
        <v>0.19</v>
      </c>
      <c r="AA45" s="331">
        <v>0.55000000000000004</v>
      </c>
      <c r="AC45" s="96"/>
      <c r="AD45" s="7" t="s">
        <v>476</v>
      </c>
      <c r="AE45" s="335">
        <v>0.315</v>
      </c>
      <c r="AF45" s="259">
        <v>2.6</v>
      </c>
    </row>
    <row r="46" spans="20:32">
      <c r="T46" s="96"/>
      <c r="U46" s="10" t="s">
        <v>481</v>
      </c>
      <c r="V46" s="7" t="s">
        <v>484</v>
      </c>
      <c r="W46" s="334">
        <v>0.25600000000000001</v>
      </c>
      <c r="X46" s="330">
        <v>1546.76</v>
      </c>
      <c r="Y46" s="7">
        <v>3.4</v>
      </c>
      <c r="Z46" s="330">
        <v>0.14000000000000001</v>
      </c>
      <c r="AA46" s="331">
        <v>0.38</v>
      </c>
      <c r="AC46" s="96"/>
      <c r="AD46" s="7" t="s">
        <v>475</v>
      </c>
      <c r="AE46" s="335">
        <v>0.158</v>
      </c>
      <c r="AF46" s="259">
        <v>8.5</v>
      </c>
    </row>
    <row r="47" spans="20:32">
      <c r="T47" s="96"/>
      <c r="U47" s="10" t="s">
        <v>482</v>
      </c>
      <c r="V47" s="7" t="s">
        <v>485</v>
      </c>
      <c r="W47" s="334">
        <v>0.25600000000000001</v>
      </c>
      <c r="X47" s="330">
        <v>1546.76</v>
      </c>
      <c r="Y47" s="333">
        <v>6.3</v>
      </c>
      <c r="Z47" s="220">
        <v>7.0000000000000007E-2</v>
      </c>
      <c r="AA47" s="331">
        <v>0.38</v>
      </c>
      <c r="AC47" s="96"/>
      <c r="AD47" s="7" t="s">
        <v>475</v>
      </c>
      <c r="AE47" s="334">
        <v>0.25600000000000001</v>
      </c>
      <c r="AF47" s="372">
        <v>6.3</v>
      </c>
    </row>
    <row r="48" spans="20:32">
      <c r="T48" s="96"/>
      <c r="U48" s="10" t="s">
        <v>483</v>
      </c>
      <c r="V48" s="7" t="s">
        <v>486</v>
      </c>
      <c r="W48" s="334">
        <v>0.25600000000000001</v>
      </c>
      <c r="X48" s="330">
        <v>1546.76</v>
      </c>
      <c r="Y48" s="7">
        <v>2.5</v>
      </c>
      <c r="Z48" s="330">
        <v>0.19</v>
      </c>
      <c r="AA48" s="331">
        <v>0.38</v>
      </c>
      <c r="AC48" s="96"/>
      <c r="AD48" s="7" t="s">
        <v>475</v>
      </c>
      <c r="AE48" s="335">
        <v>0.315</v>
      </c>
      <c r="AF48" s="373">
        <v>4.9000000000000004</v>
      </c>
    </row>
    <row r="49" spans="20:32">
      <c r="T49" s="11"/>
      <c r="U49" s="10" t="s">
        <v>481</v>
      </c>
      <c r="V49" s="7" t="s">
        <v>484</v>
      </c>
      <c r="W49" s="335">
        <v>0.315</v>
      </c>
      <c r="X49" s="330">
        <v>1165.6400000000001</v>
      </c>
      <c r="Y49" s="10">
        <v>2.6</v>
      </c>
      <c r="Z49" s="220">
        <v>0.13</v>
      </c>
      <c r="AA49" s="331">
        <v>0.28999999999999998</v>
      </c>
      <c r="AC49" s="11"/>
      <c r="AD49" s="7" t="s">
        <v>477</v>
      </c>
      <c r="AE49" s="335">
        <v>0.158</v>
      </c>
      <c r="AF49" s="259">
        <v>3.5</v>
      </c>
    </row>
    <row r="50" spans="20:32">
      <c r="T50" s="11"/>
      <c r="U50" s="10" t="s">
        <v>482</v>
      </c>
      <c r="V50" s="7" t="s">
        <v>485</v>
      </c>
      <c r="W50" s="335">
        <v>0.315</v>
      </c>
      <c r="X50" s="330">
        <v>1165.6400000000001</v>
      </c>
      <c r="Y50" s="336">
        <v>4.9000000000000004</v>
      </c>
      <c r="Z50" s="220">
        <v>7.0000000000000007E-2</v>
      </c>
      <c r="AA50" s="331">
        <v>0.28999999999999998</v>
      </c>
      <c r="AC50" s="11"/>
      <c r="AD50" s="7" t="s">
        <v>477</v>
      </c>
      <c r="AE50" s="334">
        <v>0.25600000000000001</v>
      </c>
      <c r="AF50" s="12">
        <v>2.5</v>
      </c>
    </row>
    <row r="51" spans="20:32">
      <c r="T51" s="11"/>
      <c r="U51" s="10" t="s">
        <v>483</v>
      </c>
      <c r="V51" s="7" t="s">
        <v>486</v>
      </c>
      <c r="W51" s="335">
        <v>0.315</v>
      </c>
      <c r="X51" s="330">
        <v>1165.6400000000001</v>
      </c>
      <c r="Y51" s="7">
        <v>1.9</v>
      </c>
      <c r="Z51" s="330">
        <v>0.19</v>
      </c>
      <c r="AA51" s="331">
        <v>0.28999999999999998</v>
      </c>
      <c r="AC51" s="11"/>
      <c r="AD51" s="7" t="s">
        <v>477</v>
      </c>
      <c r="AE51" s="335">
        <v>0.315</v>
      </c>
      <c r="AF51" s="12">
        <v>1.9</v>
      </c>
    </row>
    <row r="52" spans="20:32">
      <c r="T52" s="96" t="s">
        <v>464</v>
      </c>
      <c r="U52" s="39" t="s">
        <v>469</v>
      </c>
      <c r="V52" s="7" t="s">
        <v>484</v>
      </c>
      <c r="W52" s="335">
        <v>0.158</v>
      </c>
      <c r="X52" s="330">
        <v>2653.8</v>
      </c>
      <c r="Y52" s="10">
        <v>5.7</v>
      </c>
      <c r="Z52" s="220">
        <v>0.2</v>
      </c>
      <c r="AA52" s="331">
        <v>0.93</v>
      </c>
      <c r="AC52" s="96" t="s">
        <v>464</v>
      </c>
      <c r="AD52" s="7" t="s">
        <v>476</v>
      </c>
      <c r="AE52" s="335">
        <v>0.158</v>
      </c>
      <c r="AF52" s="259">
        <v>5.7</v>
      </c>
    </row>
    <row r="53" spans="20:32">
      <c r="T53" s="11" t="s">
        <v>463</v>
      </c>
      <c r="U53" s="10" t="s">
        <v>471</v>
      </c>
      <c r="V53" s="7" t="s">
        <v>485</v>
      </c>
      <c r="W53" s="335">
        <v>0.158</v>
      </c>
      <c r="X53" s="330">
        <v>2653.8</v>
      </c>
      <c r="Y53" s="10">
        <v>9.9</v>
      </c>
      <c r="Z53" s="220">
        <v>0.12</v>
      </c>
      <c r="AA53" s="331">
        <v>0.93</v>
      </c>
      <c r="AC53" s="11" t="s">
        <v>463</v>
      </c>
      <c r="AD53" s="7" t="s">
        <v>476</v>
      </c>
      <c r="AE53" s="334">
        <v>0.25600000000000001</v>
      </c>
      <c r="AF53" s="12">
        <v>4.2</v>
      </c>
    </row>
    <row r="54" spans="20:32">
      <c r="T54" s="11"/>
      <c r="U54" s="10" t="s">
        <v>473</v>
      </c>
      <c r="V54" s="7" t="s">
        <v>486</v>
      </c>
      <c r="W54" s="335">
        <v>0.158</v>
      </c>
      <c r="X54" s="330">
        <v>2653.8</v>
      </c>
      <c r="Y54" s="10">
        <v>4.0999999999999996</v>
      </c>
      <c r="Z54" s="220">
        <v>0.27</v>
      </c>
      <c r="AA54" s="331">
        <v>0.93</v>
      </c>
      <c r="AC54" s="11"/>
      <c r="AD54" s="7" t="s">
        <v>476</v>
      </c>
      <c r="AE54" s="335">
        <v>0.315</v>
      </c>
      <c r="AF54" s="259">
        <v>3.3</v>
      </c>
    </row>
    <row r="55" spans="20:32">
      <c r="T55" s="11"/>
      <c r="U55" s="39" t="s">
        <v>469</v>
      </c>
      <c r="V55" s="7" t="s">
        <v>484</v>
      </c>
      <c r="W55" s="334">
        <v>0.25600000000000001</v>
      </c>
      <c r="X55" s="330">
        <v>1936.44</v>
      </c>
      <c r="Y55" s="7">
        <v>4.2</v>
      </c>
      <c r="Z55" s="330">
        <v>0.2</v>
      </c>
      <c r="AA55" s="331">
        <v>0.68</v>
      </c>
      <c r="AC55" s="11"/>
      <c r="AD55" s="7" t="s">
        <v>475</v>
      </c>
      <c r="AE55" s="335">
        <v>0.158</v>
      </c>
      <c r="AF55" s="259">
        <v>9.9</v>
      </c>
    </row>
    <row r="56" spans="20:32">
      <c r="T56" s="11"/>
      <c r="U56" s="10" t="s">
        <v>471</v>
      </c>
      <c r="V56" s="7" t="s">
        <v>485</v>
      </c>
      <c r="W56" s="334">
        <v>0.25600000000000001</v>
      </c>
      <c r="X56" s="330">
        <v>1936.44</v>
      </c>
      <c r="Y56" s="333">
        <v>7.6</v>
      </c>
      <c r="Z56" s="220">
        <v>0.2</v>
      </c>
      <c r="AA56" s="331">
        <v>0.68</v>
      </c>
      <c r="AC56" s="11"/>
      <c r="AD56" s="7" t="s">
        <v>475</v>
      </c>
      <c r="AE56" s="334">
        <v>0.25600000000000001</v>
      </c>
      <c r="AF56" s="372">
        <v>7.6</v>
      </c>
    </row>
    <row r="57" spans="20:32">
      <c r="T57" s="11"/>
      <c r="U57" s="10" t="s">
        <v>473</v>
      </c>
      <c r="V57" s="7" t="s">
        <v>486</v>
      </c>
      <c r="W57" s="334">
        <v>0.25600000000000001</v>
      </c>
      <c r="X57" s="330">
        <v>1936.44</v>
      </c>
      <c r="Y57" s="7">
        <v>3.1</v>
      </c>
      <c r="Z57" s="330">
        <v>0.27</v>
      </c>
      <c r="AA57" s="331">
        <v>0.68</v>
      </c>
      <c r="AC57" s="11"/>
      <c r="AD57" s="7" t="s">
        <v>475</v>
      </c>
      <c r="AE57" s="335">
        <v>0.315</v>
      </c>
      <c r="AF57" s="373">
        <v>6</v>
      </c>
    </row>
    <row r="58" spans="20:32">
      <c r="T58" s="11"/>
      <c r="U58" s="39" t="s">
        <v>469</v>
      </c>
      <c r="V58" s="7" t="s">
        <v>484</v>
      </c>
      <c r="W58" s="335">
        <v>0.315</v>
      </c>
      <c r="X58" s="330">
        <v>1481.16</v>
      </c>
      <c r="Y58" s="10">
        <v>3.3</v>
      </c>
      <c r="Z58" s="220">
        <v>0.19</v>
      </c>
      <c r="AA58" s="331">
        <v>0.52</v>
      </c>
      <c r="AC58" s="11"/>
      <c r="AD58" s="7" t="s">
        <v>477</v>
      </c>
      <c r="AE58" s="335">
        <v>0.158</v>
      </c>
      <c r="AF58" s="259">
        <v>4.0999999999999996</v>
      </c>
    </row>
    <row r="59" spans="20:32">
      <c r="T59" s="11"/>
      <c r="U59" s="10" t="s">
        <v>471</v>
      </c>
      <c r="V59" s="7" t="s">
        <v>485</v>
      </c>
      <c r="W59" s="335">
        <v>0.315</v>
      </c>
      <c r="X59" s="330">
        <v>1481.16</v>
      </c>
      <c r="Y59" s="336">
        <v>6</v>
      </c>
      <c r="Z59" s="220">
        <v>0.11</v>
      </c>
      <c r="AA59" s="331">
        <v>0.52</v>
      </c>
      <c r="AC59" s="11"/>
      <c r="AD59" s="7" t="s">
        <v>477</v>
      </c>
      <c r="AE59" s="334">
        <v>0.25600000000000001</v>
      </c>
      <c r="AF59" s="12">
        <v>3.1</v>
      </c>
    </row>
    <row r="60" spans="20:32">
      <c r="T60" s="11"/>
      <c r="U60" s="10" t="s">
        <v>473</v>
      </c>
      <c r="V60" s="7" t="s">
        <v>486</v>
      </c>
      <c r="W60" s="335">
        <v>0.315</v>
      </c>
      <c r="X60" s="330">
        <v>1481.16</v>
      </c>
      <c r="Y60" s="7">
        <v>2.4</v>
      </c>
      <c r="Z60" s="330">
        <v>0.26</v>
      </c>
      <c r="AA60" s="331">
        <v>0.52</v>
      </c>
      <c r="AC60" s="11"/>
      <c r="AD60" s="7" t="s">
        <v>477</v>
      </c>
      <c r="AE60" s="335">
        <v>0.315</v>
      </c>
      <c r="AF60" s="12">
        <v>2.4</v>
      </c>
    </row>
    <row r="61" spans="20:32" ht="16.5" thickBot="1">
      <c r="T61" s="17"/>
      <c r="U61" s="15"/>
      <c r="V61" s="15"/>
      <c r="W61" s="15"/>
      <c r="X61" s="15"/>
      <c r="Y61" s="15"/>
      <c r="Z61" s="15"/>
      <c r="AA61" s="102"/>
      <c r="AC61" s="17"/>
      <c r="AD61" s="15"/>
      <c r="AE61" s="15"/>
      <c r="AF61" s="102"/>
    </row>
  </sheetData>
  <mergeCells count="10">
    <mergeCell ref="J3:L4"/>
    <mergeCell ref="E22:H22"/>
    <mergeCell ref="J22:L22"/>
    <mergeCell ref="N22:R22"/>
    <mergeCell ref="N6:P6"/>
    <mergeCell ref="J6:L6"/>
    <mergeCell ref="F6:H6"/>
    <mergeCell ref="J14:L14"/>
    <mergeCell ref="N14:R14"/>
    <mergeCell ref="F14:H1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A3:J51"/>
  <sheetViews>
    <sheetView topLeftCell="A3" workbookViewId="0">
      <selection activeCell="C47" sqref="C47"/>
    </sheetView>
  </sheetViews>
  <sheetFormatPr defaultRowHeight="15.75"/>
  <cols>
    <col min="5" max="5" width="9" hidden="1" customWidth="1"/>
    <col min="7" max="7" width="9" hidden="1" customWidth="1"/>
    <col min="9" max="9" width="9" hidden="1" customWidth="1"/>
    <col min="10" max="10" width="10.125" customWidth="1"/>
  </cols>
  <sheetData>
    <row r="3" spans="1:9" ht="47.25">
      <c r="C3" s="234" t="s">
        <v>421</v>
      </c>
      <c r="D3" s="234" t="s">
        <v>422</v>
      </c>
      <c r="E3" s="234" t="s">
        <v>95</v>
      </c>
      <c r="F3" s="234" t="s">
        <v>423</v>
      </c>
      <c r="G3" s="234" t="s">
        <v>95</v>
      </c>
      <c r="H3" s="234" t="s">
        <v>488</v>
      </c>
      <c r="I3" s="234" t="s">
        <v>95</v>
      </c>
    </row>
    <row r="4" spans="1:9">
      <c r="A4" s="370" t="s">
        <v>417</v>
      </c>
      <c r="B4" t="s">
        <v>398</v>
      </c>
      <c r="C4">
        <v>285</v>
      </c>
      <c r="D4">
        <v>0.27</v>
      </c>
      <c r="E4" s="45">
        <f>D4*C4</f>
        <v>76.95</v>
      </c>
      <c r="F4">
        <v>0.13</v>
      </c>
      <c r="G4" s="45">
        <f>(C4-E4)*F4</f>
        <v>27.046500000000002</v>
      </c>
      <c r="H4">
        <v>0.21</v>
      </c>
      <c r="I4" s="45">
        <f>(C4-E4)*H4</f>
        <v>43.6905</v>
      </c>
    </row>
    <row r="5" spans="1:9">
      <c r="A5" s="370"/>
      <c r="B5" t="s">
        <v>399</v>
      </c>
      <c r="C5">
        <v>285</v>
      </c>
      <c r="D5">
        <v>0.16</v>
      </c>
      <c r="E5" s="45">
        <f t="shared" ref="E5:E24" si="0">D5*C5</f>
        <v>45.6</v>
      </c>
      <c r="F5" s="27">
        <v>0.1</v>
      </c>
      <c r="G5" s="45">
        <f t="shared" ref="G5:G24" si="1">(C5-E5)*F5</f>
        <v>23.94</v>
      </c>
      <c r="H5">
        <v>0.33</v>
      </c>
      <c r="I5" s="45">
        <f t="shared" ref="I5:I24" si="2">(C5-E5)*H5</f>
        <v>79.00200000000001</v>
      </c>
    </row>
    <row r="6" spans="1:9">
      <c r="A6" s="370"/>
      <c r="B6" t="s">
        <v>400</v>
      </c>
      <c r="C6">
        <v>348</v>
      </c>
      <c r="D6">
        <v>0.17</v>
      </c>
      <c r="E6" s="45">
        <f t="shared" si="0"/>
        <v>59.160000000000004</v>
      </c>
      <c r="F6" s="27">
        <v>0.1</v>
      </c>
      <c r="G6" s="45">
        <f t="shared" si="1"/>
        <v>28.884</v>
      </c>
      <c r="H6">
        <v>0.28000000000000003</v>
      </c>
      <c r="I6" s="45">
        <f t="shared" si="2"/>
        <v>80.875200000000007</v>
      </c>
    </row>
    <row r="7" spans="1:9">
      <c r="A7" s="370"/>
      <c r="B7" t="s">
        <v>401</v>
      </c>
      <c r="C7">
        <v>348</v>
      </c>
      <c r="D7">
        <v>0.13</v>
      </c>
      <c r="E7" s="45">
        <f t="shared" si="0"/>
        <v>45.24</v>
      </c>
      <c r="F7">
        <v>0.08</v>
      </c>
      <c r="G7" s="45">
        <f t="shared" si="1"/>
        <v>24.220800000000001</v>
      </c>
      <c r="H7">
        <v>0.32</v>
      </c>
      <c r="I7" s="45">
        <f t="shared" si="2"/>
        <v>96.883200000000002</v>
      </c>
    </row>
    <row r="8" spans="1:9">
      <c r="A8" s="370" t="s">
        <v>418</v>
      </c>
      <c r="B8" t="s">
        <v>402</v>
      </c>
      <c r="C8">
        <v>580</v>
      </c>
      <c r="D8">
        <v>7.0000000000000007E-2</v>
      </c>
      <c r="E8" s="45">
        <f t="shared" si="0"/>
        <v>40.6</v>
      </c>
      <c r="F8">
        <v>0.05</v>
      </c>
      <c r="G8" s="45">
        <f t="shared" si="1"/>
        <v>26.97</v>
      </c>
      <c r="H8">
        <v>0.22</v>
      </c>
      <c r="I8" s="45">
        <f t="shared" si="2"/>
        <v>118.66799999999999</v>
      </c>
    </row>
    <row r="9" spans="1:9">
      <c r="A9" s="370"/>
      <c r="B9" t="s">
        <v>403</v>
      </c>
      <c r="C9">
        <v>770</v>
      </c>
      <c r="D9">
        <v>0.25</v>
      </c>
      <c r="E9" s="45">
        <f t="shared" si="0"/>
        <v>192.5</v>
      </c>
      <c r="F9">
        <v>7.0000000000000007E-2</v>
      </c>
      <c r="G9" s="45">
        <f t="shared" si="1"/>
        <v>40.425000000000004</v>
      </c>
      <c r="H9">
        <v>0.21</v>
      </c>
      <c r="I9" s="45">
        <f t="shared" si="2"/>
        <v>121.27499999999999</v>
      </c>
    </row>
    <row r="10" spans="1:9">
      <c r="A10" s="370" t="s">
        <v>419</v>
      </c>
      <c r="B10" t="s">
        <v>404</v>
      </c>
      <c r="C10">
        <v>116</v>
      </c>
      <c r="D10">
        <v>0.12</v>
      </c>
      <c r="E10" s="45">
        <f t="shared" si="0"/>
        <v>13.92</v>
      </c>
      <c r="F10">
        <v>0.08</v>
      </c>
      <c r="G10" s="45">
        <f t="shared" si="1"/>
        <v>8.1663999999999994</v>
      </c>
      <c r="H10">
        <v>0.37</v>
      </c>
      <c r="I10" s="45">
        <f t="shared" si="2"/>
        <v>37.769599999999997</v>
      </c>
    </row>
    <row r="11" spans="1:9">
      <c r="A11" s="370"/>
      <c r="B11" t="s">
        <v>405</v>
      </c>
      <c r="C11">
        <v>253</v>
      </c>
      <c r="D11">
        <v>0.46</v>
      </c>
      <c r="E11" s="45">
        <f t="shared" si="0"/>
        <v>116.38000000000001</v>
      </c>
      <c r="F11">
        <v>0.15</v>
      </c>
      <c r="G11" s="45">
        <f t="shared" si="1"/>
        <v>20.492999999999999</v>
      </c>
      <c r="H11">
        <v>0.41</v>
      </c>
      <c r="I11" s="45">
        <f t="shared" si="2"/>
        <v>56.014199999999995</v>
      </c>
    </row>
    <row r="12" spans="1:9">
      <c r="A12" s="370"/>
      <c r="B12" t="s">
        <v>406</v>
      </c>
      <c r="C12">
        <v>480</v>
      </c>
      <c r="D12">
        <v>0.37</v>
      </c>
      <c r="E12" s="45">
        <f t="shared" si="0"/>
        <v>177.6</v>
      </c>
      <c r="F12">
        <v>0.13</v>
      </c>
      <c r="G12" s="45">
        <f t="shared" si="1"/>
        <v>39.311999999999998</v>
      </c>
      <c r="H12">
        <v>0.32</v>
      </c>
      <c r="I12" s="45">
        <f t="shared" si="2"/>
        <v>96.768000000000001</v>
      </c>
    </row>
    <row r="13" spans="1:9">
      <c r="A13" s="370"/>
      <c r="B13" t="s">
        <v>407</v>
      </c>
      <c r="C13">
        <v>240</v>
      </c>
      <c r="D13">
        <v>0.26</v>
      </c>
      <c r="E13" s="45">
        <f t="shared" si="0"/>
        <v>62.400000000000006</v>
      </c>
      <c r="F13">
        <v>0.12</v>
      </c>
      <c r="G13" s="45">
        <f t="shared" si="1"/>
        <v>21.311999999999998</v>
      </c>
      <c r="H13">
        <v>0.45</v>
      </c>
      <c r="I13" s="45">
        <f t="shared" si="2"/>
        <v>79.92</v>
      </c>
    </row>
    <row r="14" spans="1:9">
      <c r="A14" s="370"/>
      <c r="B14" t="s">
        <v>408</v>
      </c>
      <c r="C14">
        <v>418</v>
      </c>
      <c r="D14">
        <v>0.08</v>
      </c>
      <c r="E14" s="45">
        <f t="shared" si="0"/>
        <v>33.44</v>
      </c>
      <c r="F14">
        <v>0.05</v>
      </c>
      <c r="G14" s="45">
        <f t="shared" si="1"/>
        <v>19.228000000000002</v>
      </c>
      <c r="H14">
        <v>0.32</v>
      </c>
      <c r="I14" s="45">
        <f t="shared" si="2"/>
        <v>123.0592</v>
      </c>
    </row>
    <row r="15" spans="1:9">
      <c r="A15" s="370"/>
      <c r="B15" t="s">
        <v>409</v>
      </c>
      <c r="C15">
        <v>357</v>
      </c>
      <c r="D15">
        <v>0.39</v>
      </c>
      <c r="E15" s="45">
        <f t="shared" si="0"/>
        <v>139.23000000000002</v>
      </c>
      <c r="F15">
        <v>0.14000000000000001</v>
      </c>
      <c r="G15" s="45">
        <f t="shared" si="1"/>
        <v>30.4878</v>
      </c>
      <c r="H15">
        <v>0.28999999999999998</v>
      </c>
      <c r="I15" s="45">
        <f t="shared" si="2"/>
        <v>63.153299999999987</v>
      </c>
    </row>
    <row r="16" spans="1:9">
      <c r="A16" s="370"/>
      <c r="B16" t="s">
        <v>410</v>
      </c>
      <c r="C16">
        <v>494</v>
      </c>
      <c r="D16">
        <v>0.12</v>
      </c>
      <c r="E16" s="45">
        <f t="shared" si="0"/>
        <v>59.28</v>
      </c>
      <c r="F16">
        <v>0.09</v>
      </c>
      <c r="G16" s="45">
        <f t="shared" si="1"/>
        <v>39.1248</v>
      </c>
      <c r="H16">
        <v>0.31</v>
      </c>
      <c r="I16" s="45">
        <f t="shared" si="2"/>
        <v>134.76320000000001</v>
      </c>
    </row>
    <row r="17" spans="1:10">
      <c r="A17" s="370" t="s">
        <v>420</v>
      </c>
      <c r="B17" t="s">
        <v>411</v>
      </c>
      <c r="C17">
        <v>272</v>
      </c>
      <c r="D17">
        <v>0.28999999999999998</v>
      </c>
      <c r="E17" s="45">
        <f t="shared" si="0"/>
        <v>78.88</v>
      </c>
      <c r="F17">
        <v>0.15</v>
      </c>
      <c r="G17" s="45">
        <f t="shared" si="1"/>
        <v>28.968</v>
      </c>
      <c r="H17">
        <v>0.3</v>
      </c>
      <c r="I17" s="45">
        <f t="shared" si="2"/>
        <v>57.936</v>
      </c>
    </row>
    <row r="18" spans="1:10">
      <c r="A18" s="370"/>
      <c r="B18" t="s">
        <v>412</v>
      </c>
      <c r="C18">
        <v>517</v>
      </c>
      <c r="D18">
        <v>0.41</v>
      </c>
      <c r="E18" s="45">
        <f t="shared" si="0"/>
        <v>211.97</v>
      </c>
      <c r="F18">
        <v>0.24</v>
      </c>
      <c r="G18" s="45">
        <f t="shared" si="1"/>
        <v>73.207199999999986</v>
      </c>
      <c r="H18">
        <v>0.39</v>
      </c>
      <c r="I18" s="45">
        <f t="shared" si="2"/>
        <v>118.96169999999999</v>
      </c>
    </row>
    <row r="19" spans="1:10">
      <c r="A19" s="370"/>
      <c r="B19" t="s">
        <v>413</v>
      </c>
      <c r="C19">
        <v>488</v>
      </c>
      <c r="D19">
        <v>0.21</v>
      </c>
      <c r="E19" s="45">
        <f t="shared" si="0"/>
        <v>102.47999999999999</v>
      </c>
      <c r="F19">
        <v>0.21</v>
      </c>
      <c r="G19" s="45">
        <f t="shared" si="1"/>
        <v>80.959199999999996</v>
      </c>
      <c r="H19">
        <v>0.43</v>
      </c>
      <c r="I19" s="45">
        <f t="shared" si="2"/>
        <v>165.77359999999999</v>
      </c>
    </row>
    <row r="20" spans="1:10">
      <c r="A20" s="370"/>
      <c r="B20" t="s">
        <v>414</v>
      </c>
      <c r="C20">
        <v>488</v>
      </c>
      <c r="D20">
        <v>0.23</v>
      </c>
      <c r="E20" s="45">
        <f t="shared" si="0"/>
        <v>112.24000000000001</v>
      </c>
      <c r="F20">
        <v>0.22</v>
      </c>
      <c r="G20" s="45">
        <f t="shared" si="1"/>
        <v>82.667199999999994</v>
      </c>
      <c r="H20">
        <v>0.44</v>
      </c>
      <c r="I20" s="45">
        <f t="shared" si="2"/>
        <v>165.33439999999999</v>
      </c>
    </row>
    <row r="21" spans="1:10">
      <c r="A21" s="370"/>
      <c r="B21" t="s">
        <v>415</v>
      </c>
      <c r="C21">
        <v>354</v>
      </c>
      <c r="D21">
        <v>0.56000000000000005</v>
      </c>
      <c r="E21" s="45">
        <f t="shared" si="0"/>
        <v>198.24</v>
      </c>
      <c r="F21">
        <v>0.48</v>
      </c>
      <c r="G21" s="45">
        <f t="shared" si="1"/>
        <v>74.764799999999994</v>
      </c>
      <c r="H21">
        <v>0.6</v>
      </c>
      <c r="I21" s="45">
        <f t="shared" si="2"/>
        <v>93.455999999999989</v>
      </c>
    </row>
    <row r="22" spans="1:10">
      <c r="A22" s="370"/>
      <c r="B22" t="s">
        <v>416</v>
      </c>
      <c r="C22">
        <v>296</v>
      </c>
      <c r="D22">
        <v>0.13</v>
      </c>
      <c r="E22" s="45">
        <f t="shared" si="0"/>
        <v>38.480000000000004</v>
      </c>
      <c r="F22">
        <v>0.09</v>
      </c>
      <c r="G22" s="45">
        <f t="shared" si="1"/>
        <v>23.176799999999997</v>
      </c>
      <c r="H22">
        <v>0.24</v>
      </c>
      <c r="I22" s="45">
        <f t="shared" si="2"/>
        <v>61.804799999999993</v>
      </c>
    </row>
    <row r="23" spans="1:10">
      <c r="A23" t="s">
        <v>190</v>
      </c>
      <c r="B23" t="s">
        <v>424</v>
      </c>
      <c r="C23">
        <v>960</v>
      </c>
      <c r="D23">
        <v>0</v>
      </c>
      <c r="E23" s="45">
        <f t="shared" si="0"/>
        <v>0</v>
      </c>
      <c r="F23">
        <v>0.01</v>
      </c>
      <c r="G23" s="45">
        <f t="shared" si="1"/>
        <v>9.6</v>
      </c>
      <c r="H23">
        <v>0.13</v>
      </c>
      <c r="I23" s="45">
        <f t="shared" si="2"/>
        <v>124.80000000000001</v>
      </c>
    </row>
    <row r="24" spans="1:10">
      <c r="A24" s="153" t="s">
        <v>426</v>
      </c>
      <c r="B24" t="s">
        <v>425</v>
      </c>
      <c r="C24">
        <v>570</v>
      </c>
      <c r="D24">
        <v>0.05</v>
      </c>
      <c r="E24" s="45">
        <f t="shared" si="0"/>
        <v>28.5</v>
      </c>
      <c r="F24">
        <v>0.05</v>
      </c>
      <c r="G24" s="45">
        <f t="shared" si="1"/>
        <v>27.075000000000003</v>
      </c>
      <c r="H24">
        <v>0.2</v>
      </c>
      <c r="I24" s="45">
        <f t="shared" si="2"/>
        <v>108.30000000000001</v>
      </c>
    </row>
    <row r="25" spans="1:10">
      <c r="C25">
        <f>SUM(C4:C24)</f>
        <v>8919</v>
      </c>
    </row>
    <row r="26" spans="1:10">
      <c r="A26" t="s">
        <v>427</v>
      </c>
      <c r="D26" s="27">
        <f>SUM(E4:E24)/$C$25</f>
        <v>0.20552640430541538</v>
      </c>
      <c r="F26" s="27">
        <f>SUM(G4:G24)/$C$25</f>
        <v>8.4093340060544919E-2</v>
      </c>
      <c r="H26" s="27">
        <f>SUM(I4:I24)/$C$25</f>
        <v>0.22740306088126469</v>
      </c>
    </row>
    <row r="30" spans="1:10" ht="94.5">
      <c r="D30" s="234" t="s">
        <v>422</v>
      </c>
      <c r="E30" s="234" t="s">
        <v>95</v>
      </c>
      <c r="F30" s="234" t="s">
        <v>423</v>
      </c>
      <c r="G30" s="234" t="s">
        <v>95</v>
      </c>
      <c r="H30" s="234" t="s">
        <v>488</v>
      </c>
      <c r="J30" s="234" t="s">
        <v>489</v>
      </c>
    </row>
    <row r="31" spans="1:10">
      <c r="D31">
        <v>0</v>
      </c>
      <c r="E31" s="45">
        <f>D31*C31</f>
        <v>0</v>
      </c>
      <c r="F31">
        <v>0.01</v>
      </c>
      <c r="G31" s="45">
        <f>(C31-E31)*F31</f>
        <v>0</v>
      </c>
      <c r="H31">
        <v>0.13</v>
      </c>
      <c r="J31">
        <f>H31-F31</f>
        <v>0.12000000000000001</v>
      </c>
    </row>
    <row r="32" spans="1:10">
      <c r="D32">
        <v>0.05</v>
      </c>
      <c r="E32" s="45">
        <f>D32*C32</f>
        <v>0</v>
      </c>
      <c r="F32">
        <v>0.05</v>
      </c>
      <c r="G32" s="45">
        <f>(C32-E32)*F32</f>
        <v>0</v>
      </c>
      <c r="H32">
        <v>0.2</v>
      </c>
      <c r="J32">
        <f t="shared" ref="J32:J51" si="3">H32-F32</f>
        <v>0.15000000000000002</v>
      </c>
    </row>
    <row r="33" spans="4:10">
      <c r="D33">
        <v>7.0000000000000007E-2</v>
      </c>
      <c r="E33" s="45" t="e">
        <f>D33*#REF!</f>
        <v>#REF!</v>
      </c>
      <c r="F33">
        <v>0.05</v>
      </c>
      <c r="G33" s="45" t="e">
        <f>(#REF!-E33)*F33</f>
        <v>#REF!</v>
      </c>
      <c r="H33">
        <v>0.22</v>
      </c>
      <c r="J33">
        <f t="shared" si="3"/>
        <v>0.16999999999999998</v>
      </c>
    </row>
    <row r="34" spans="4:10">
      <c r="D34">
        <v>0.08</v>
      </c>
      <c r="E34" s="45" t="e">
        <f>D34*#REF!</f>
        <v>#REF!</v>
      </c>
      <c r="F34">
        <v>0.05</v>
      </c>
      <c r="G34" s="45" t="e">
        <f>(#REF!-E34)*F34</f>
        <v>#REF!</v>
      </c>
      <c r="H34">
        <v>0.32</v>
      </c>
      <c r="J34">
        <f t="shared" si="3"/>
        <v>0.27</v>
      </c>
    </row>
    <row r="35" spans="4:10">
      <c r="D35">
        <v>0.12</v>
      </c>
      <c r="E35" s="45" t="e">
        <f>D35*#REF!</f>
        <v>#REF!</v>
      </c>
      <c r="F35">
        <v>0.08</v>
      </c>
      <c r="G35" s="45" t="e">
        <f>(#REF!-E35)*F35</f>
        <v>#REF!</v>
      </c>
      <c r="H35">
        <v>0.37</v>
      </c>
      <c r="J35">
        <f t="shared" si="3"/>
        <v>0.28999999999999998</v>
      </c>
    </row>
    <row r="36" spans="4:10">
      <c r="D36">
        <v>0.12</v>
      </c>
      <c r="E36" s="45" t="e">
        <f>D36*#REF!</f>
        <v>#REF!</v>
      </c>
      <c r="F36">
        <v>0.09</v>
      </c>
      <c r="G36" s="45" t="e">
        <f>(#REF!-E36)*F36</f>
        <v>#REF!</v>
      </c>
      <c r="H36">
        <v>0.31</v>
      </c>
      <c r="J36">
        <f t="shared" si="3"/>
        <v>0.22</v>
      </c>
    </row>
    <row r="37" spans="4:10">
      <c r="D37">
        <v>0.13</v>
      </c>
      <c r="E37" s="45" t="e">
        <f>D37*#REF!</f>
        <v>#REF!</v>
      </c>
      <c r="F37">
        <v>0.09</v>
      </c>
      <c r="G37" s="45" t="e">
        <f>(#REF!-E37)*F37</f>
        <v>#REF!</v>
      </c>
      <c r="H37">
        <v>0.24</v>
      </c>
      <c r="J37">
        <f t="shared" si="3"/>
        <v>0.15</v>
      </c>
    </row>
    <row r="38" spans="4:10">
      <c r="D38">
        <v>0.13</v>
      </c>
      <c r="E38" s="45" t="e">
        <f>D38*#REF!</f>
        <v>#REF!</v>
      </c>
      <c r="F38">
        <v>0.08</v>
      </c>
      <c r="G38" s="45" t="e">
        <f>(#REF!-E38)*F38</f>
        <v>#REF!</v>
      </c>
      <c r="H38">
        <v>0.32</v>
      </c>
      <c r="J38">
        <f t="shared" si="3"/>
        <v>0.24</v>
      </c>
    </row>
    <row r="39" spans="4:10">
      <c r="D39">
        <v>0.16</v>
      </c>
      <c r="E39" s="45" t="e">
        <f>D39*#REF!</f>
        <v>#REF!</v>
      </c>
      <c r="F39">
        <v>0.1</v>
      </c>
      <c r="G39" s="45" t="e">
        <f>(#REF!-E39)*F39</f>
        <v>#REF!</v>
      </c>
      <c r="H39">
        <v>0.33</v>
      </c>
      <c r="J39">
        <f t="shared" si="3"/>
        <v>0.23</v>
      </c>
    </row>
    <row r="40" spans="4:10">
      <c r="D40">
        <v>0.17</v>
      </c>
      <c r="E40" s="45" t="e">
        <f>D40*#REF!</f>
        <v>#REF!</v>
      </c>
      <c r="F40">
        <v>0.1</v>
      </c>
      <c r="G40" s="45" t="e">
        <f>(#REF!-E40)*F40</f>
        <v>#REF!</v>
      </c>
      <c r="H40">
        <v>0.28000000000000003</v>
      </c>
      <c r="J40">
        <f t="shared" si="3"/>
        <v>0.18000000000000002</v>
      </c>
    </row>
    <row r="41" spans="4:10">
      <c r="D41">
        <v>0.21</v>
      </c>
      <c r="E41" s="45" t="e">
        <f>D41*#REF!</f>
        <v>#REF!</v>
      </c>
      <c r="F41">
        <v>0.21</v>
      </c>
      <c r="G41" s="45" t="e">
        <f>(#REF!-E41)*F41</f>
        <v>#REF!</v>
      </c>
      <c r="H41">
        <v>0.43</v>
      </c>
      <c r="J41">
        <f t="shared" si="3"/>
        <v>0.22</v>
      </c>
    </row>
    <row r="42" spans="4:10">
      <c r="D42">
        <v>0.23</v>
      </c>
      <c r="E42" s="45" t="e">
        <f>D42*#REF!</f>
        <v>#REF!</v>
      </c>
      <c r="F42">
        <v>0.22</v>
      </c>
      <c r="G42" s="45" t="e">
        <f>(#REF!-E42)*F42</f>
        <v>#REF!</v>
      </c>
      <c r="H42">
        <v>0.44</v>
      </c>
      <c r="J42">
        <f t="shared" si="3"/>
        <v>0.22</v>
      </c>
    </row>
    <row r="43" spans="4:10">
      <c r="D43">
        <v>0.25</v>
      </c>
      <c r="E43" s="45" t="e">
        <f>D43*#REF!</f>
        <v>#REF!</v>
      </c>
      <c r="F43">
        <v>7.0000000000000007E-2</v>
      </c>
      <c r="G43" s="45" t="e">
        <f>(#REF!-E43)*F43</f>
        <v>#REF!</v>
      </c>
      <c r="H43">
        <v>0.21</v>
      </c>
      <c r="J43">
        <f t="shared" si="3"/>
        <v>0.13999999999999999</v>
      </c>
    </row>
    <row r="44" spans="4:10">
      <c r="D44">
        <v>0.26</v>
      </c>
      <c r="E44" s="45" t="e">
        <f>D44*#REF!</f>
        <v>#REF!</v>
      </c>
      <c r="F44">
        <v>0.12</v>
      </c>
      <c r="G44" s="45" t="e">
        <f>(#REF!-E44)*F44</f>
        <v>#REF!</v>
      </c>
      <c r="H44">
        <v>0.45</v>
      </c>
      <c r="J44">
        <f t="shared" si="3"/>
        <v>0.33</v>
      </c>
    </row>
    <row r="45" spans="4:10">
      <c r="D45">
        <v>0.27</v>
      </c>
      <c r="E45" s="45" t="e">
        <f>D45*#REF!</f>
        <v>#REF!</v>
      </c>
      <c r="F45">
        <v>0.13</v>
      </c>
      <c r="G45" s="45" t="e">
        <f>(#REF!-E45)*F45</f>
        <v>#REF!</v>
      </c>
      <c r="H45">
        <v>0.21</v>
      </c>
      <c r="J45">
        <f t="shared" si="3"/>
        <v>7.9999999999999988E-2</v>
      </c>
    </row>
    <row r="46" spans="4:10">
      <c r="D46">
        <v>0.28999999999999998</v>
      </c>
      <c r="E46" s="45" t="e">
        <f>D46*#REF!</f>
        <v>#REF!</v>
      </c>
      <c r="F46">
        <v>0.15</v>
      </c>
      <c r="G46" s="45" t="e">
        <f>(#REF!-E46)*F46</f>
        <v>#REF!</v>
      </c>
      <c r="H46">
        <v>0.3</v>
      </c>
      <c r="J46">
        <f t="shared" si="3"/>
        <v>0.15</v>
      </c>
    </row>
    <row r="47" spans="4:10">
      <c r="D47">
        <v>0.37</v>
      </c>
      <c r="E47" s="45" t="e">
        <f>D47*#REF!</f>
        <v>#REF!</v>
      </c>
      <c r="F47">
        <v>0.13</v>
      </c>
      <c r="G47" s="45" t="e">
        <f>(#REF!-E47)*F47</f>
        <v>#REF!</v>
      </c>
      <c r="H47">
        <v>0.32</v>
      </c>
      <c r="J47">
        <f t="shared" si="3"/>
        <v>0.19</v>
      </c>
    </row>
    <row r="48" spans="4:10">
      <c r="D48">
        <v>0.39</v>
      </c>
      <c r="E48" s="45" t="e">
        <f>D48*#REF!</f>
        <v>#REF!</v>
      </c>
      <c r="F48">
        <v>0.14000000000000001</v>
      </c>
      <c r="G48" s="45" t="e">
        <f>(#REF!-E48)*F48</f>
        <v>#REF!</v>
      </c>
      <c r="H48">
        <v>0.28999999999999998</v>
      </c>
      <c r="J48">
        <f t="shared" si="3"/>
        <v>0.14999999999999997</v>
      </c>
    </row>
    <row r="49" spans="4:10">
      <c r="D49">
        <v>0.41</v>
      </c>
      <c r="E49" s="45" t="e">
        <f>D49*#REF!</f>
        <v>#REF!</v>
      </c>
      <c r="F49">
        <v>0.24</v>
      </c>
      <c r="G49" s="45" t="e">
        <f>(#REF!-E49)*F49</f>
        <v>#REF!</v>
      </c>
      <c r="H49">
        <v>0.39</v>
      </c>
      <c r="J49">
        <f t="shared" si="3"/>
        <v>0.15000000000000002</v>
      </c>
    </row>
    <row r="50" spans="4:10">
      <c r="D50">
        <v>0.46</v>
      </c>
      <c r="E50" s="45" t="e">
        <f>D50*#REF!</f>
        <v>#REF!</v>
      </c>
      <c r="F50">
        <v>0.15</v>
      </c>
      <c r="G50" s="45" t="e">
        <f>(#REF!-E50)*F50</f>
        <v>#REF!</v>
      </c>
      <c r="H50">
        <v>0.41</v>
      </c>
      <c r="J50">
        <f t="shared" si="3"/>
        <v>0.26</v>
      </c>
    </row>
    <row r="51" spans="4:10">
      <c r="D51">
        <v>0.56000000000000005</v>
      </c>
      <c r="E51" s="45" t="e">
        <f>D51*#REF!</f>
        <v>#REF!</v>
      </c>
      <c r="F51">
        <v>0.48</v>
      </c>
      <c r="G51" s="45" t="e">
        <f>(#REF!-E51)*F51</f>
        <v>#REF!</v>
      </c>
      <c r="H51">
        <v>0.6</v>
      </c>
      <c r="J51">
        <f t="shared" si="3"/>
        <v>0.12</v>
      </c>
    </row>
  </sheetData>
  <mergeCells count="4">
    <mergeCell ref="A4:A7"/>
    <mergeCell ref="A8:A9"/>
    <mergeCell ref="A10:A16"/>
    <mergeCell ref="A17:A2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2:U113"/>
  <sheetViews>
    <sheetView topLeftCell="A46" workbookViewId="0">
      <selection activeCell="M110" sqref="M110"/>
    </sheetView>
  </sheetViews>
  <sheetFormatPr defaultRowHeight="15.75"/>
  <cols>
    <col min="2" max="2" width="15.875" customWidth="1"/>
    <col min="3" max="3" width="8.5" customWidth="1"/>
    <col min="4" max="4" width="21.25" customWidth="1"/>
    <col min="5" max="5" width="6.375" customWidth="1"/>
    <col min="6" max="6" width="9.25" customWidth="1"/>
    <col min="7" max="7" width="6.125" customWidth="1"/>
    <col min="8" max="8" width="6.5" customWidth="1"/>
    <col min="9" max="10" width="8.125" customWidth="1"/>
    <col min="11" max="11" width="4.25" customWidth="1"/>
    <col min="12" max="12" width="4.875" customWidth="1"/>
    <col min="14" max="14" width="11.5" customWidth="1"/>
    <col min="15" max="15" width="7" customWidth="1"/>
    <col min="16" max="16" width="17.375" customWidth="1"/>
    <col min="17" max="17" width="5.625" customWidth="1"/>
    <col min="18" max="18" width="7.875" customWidth="1"/>
  </cols>
  <sheetData>
    <row r="2" spans="1:19">
      <c r="A2" s="1" t="s">
        <v>361</v>
      </c>
      <c r="B2" s="2" t="s">
        <v>362</v>
      </c>
    </row>
    <row r="3" spans="1:19" ht="25.5" customHeight="1">
      <c r="B3" t="s">
        <v>363</v>
      </c>
      <c r="D3" t="s">
        <v>364</v>
      </c>
      <c r="P3" s="338" t="s">
        <v>336</v>
      </c>
      <c r="Q3" s="338"/>
      <c r="R3" s="338"/>
      <c r="S3" s="338"/>
    </row>
    <row r="4" spans="1:19">
      <c r="B4" t="s">
        <v>279</v>
      </c>
      <c r="C4" s="41">
        <v>6948</v>
      </c>
      <c r="P4" s="1" t="s">
        <v>278</v>
      </c>
      <c r="Q4" s="1" t="s">
        <v>337</v>
      </c>
      <c r="R4" s="1" t="s">
        <v>279</v>
      </c>
      <c r="S4" s="1" t="s">
        <v>280</v>
      </c>
    </row>
    <row r="5" spans="1:19">
      <c r="B5" t="s">
        <v>367</v>
      </c>
      <c r="C5">
        <v>65</v>
      </c>
      <c r="D5" t="s">
        <v>365</v>
      </c>
      <c r="P5" t="s">
        <v>281</v>
      </c>
      <c r="Q5" s="246" t="s">
        <v>282</v>
      </c>
      <c r="R5">
        <v>10570</v>
      </c>
      <c r="S5">
        <v>688</v>
      </c>
    </row>
    <row r="6" spans="1:19">
      <c r="B6" t="s">
        <v>368</v>
      </c>
      <c r="D6" t="s">
        <v>369</v>
      </c>
      <c r="P6" t="s">
        <v>283</v>
      </c>
      <c r="Q6" s="246" t="s">
        <v>282</v>
      </c>
      <c r="R6">
        <v>13940</v>
      </c>
      <c r="S6">
        <v>1040</v>
      </c>
    </row>
    <row r="7" spans="1:19">
      <c r="B7" t="s">
        <v>366</v>
      </c>
      <c r="C7" s="41">
        <v>0</v>
      </c>
      <c r="P7" t="s">
        <v>335</v>
      </c>
      <c r="Q7" s="246" t="s">
        <v>284</v>
      </c>
      <c r="R7">
        <v>3016</v>
      </c>
      <c r="S7">
        <v>2883</v>
      </c>
    </row>
    <row r="8" spans="1:19">
      <c r="P8" t="s">
        <v>285</v>
      </c>
      <c r="Q8" s="246" t="s">
        <v>286</v>
      </c>
      <c r="R8">
        <v>5554</v>
      </c>
      <c r="S8">
        <v>2820</v>
      </c>
    </row>
    <row r="9" spans="1:19">
      <c r="P9" t="s">
        <v>287</v>
      </c>
      <c r="Q9" s="246" t="s">
        <v>288</v>
      </c>
      <c r="R9">
        <v>6155</v>
      </c>
      <c r="S9">
        <v>2768</v>
      </c>
    </row>
    <row r="10" spans="1:19">
      <c r="P10" t="s">
        <v>289</v>
      </c>
      <c r="Q10" s="246" t="s">
        <v>290</v>
      </c>
      <c r="R10">
        <v>4337</v>
      </c>
      <c r="S10">
        <v>3894</v>
      </c>
    </row>
    <row r="11" spans="1:19">
      <c r="P11" t="s">
        <v>291</v>
      </c>
      <c r="Q11" s="246" t="s">
        <v>292</v>
      </c>
      <c r="R11">
        <v>0</v>
      </c>
      <c r="S11">
        <v>9949</v>
      </c>
    </row>
    <row r="12" spans="1:19">
      <c r="P12" t="s">
        <v>293</v>
      </c>
      <c r="Q12" s="246" t="s">
        <v>294</v>
      </c>
      <c r="R12">
        <v>5861</v>
      </c>
      <c r="S12">
        <v>2807</v>
      </c>
    </row>
    <row r="13" spans="1:19">
      <c r="P13" t="s">
        <v>295</v>
      </c>
      <c r="Q13" s="246" t="s">
        <v>296</v>
      </c>
      <c r="R13">
        <v>6536</v>
      </c>
      <c r="S13">
        <v>2941</v>
      </c>
    </row>
    <row r="14" spans="1:19">
      <c r="P14" t="s">
        <v>298</v>
      </c>
      <c r="Q14" s="246" t="s">
        <v>297</v>
      </c>
      <c r="R14">
        <v>5536</v>
      </c>
      <c r="S14">
        <v>3353</v>
      </c>
    </row>
    <row r="15" spans="1:19">
      <c r="P15" t="s">
        <v>300</v>
      </c>
      <c r="Q15" s="246" t="s">
        <v>299</v>
      </c>
      <c r="R15">
        <v>7930</v>
      </c>
      <c r="S15">
        <v>1916</v>
      </c>
    </row>
    <row r="16" spans="1:19">
      <c r="P16" t="s">
        <v>301</v>
      </c>
      <c r="Q16" s="246" t="s">
        <v>299</v>
      </c>
      <c r="R16">
        <v>7378</v>
      </c>
      <c r="S16">
        <v>1943</v>
      </c>
    </row>
    <row r="17" spans="2:19">
      <c r="P17" t="s">
        <v>302</v>
      </c>
      <c r="Q17" s="246" t="s">
        <v>303</v>
      </c>
      <c r="R17">
        <v>4707</v>
      </c>
      <c r="S17">
        <v>3709</v>
      </c>
    </row>
    <row r="18" spans="2:19">
      <c r="P18" t="s">
        <v>305</v>
      </c>
      <c r="Q18" s="246" t="s">
        <v>304</v>
      </c>
      <c r="R18">
        <v>5641</v>
      </c>
      <c r="S18">
        <v>2897</v>
      </c>
    </row>
    <row r="19" spans="2:19">
      <c r="P19" t="s">
        <v>306</v>
      </c>
      <c r="Q19" s="246" t="s">
        <v>304</v>
      </c>
      <c r="R19">
        <v>5754</v>
      </c>
      <c r="S19">
        <v>3037</v>
      </c>
    </row>
    <row r="20" spans="2:19">
      <c r="P20" t="s">
        <v>307</v>
      </c>
      <c r="Q20" s="246" t="s">
        <v>308</v>
      </c>
      <c r="R20">
        <v>6167</v>
      </c>
      <c r="S20">
        <v>3046</v>
      </c>
    </row>
    <row r="21" spans="2:19">
      <c r="D21" s="1"/>
      <c r="P21" t="s">
        <v>309</v>
      </c>
      <c r="Q21" s="246" t="s">
        <v>310</v>
      </c>
      <c r="R21">
        <v>7981</v>
      </c>
      <c r="S21">
        <v>2680</v>
      </c>
    </row>
    <row r="22" spans="2:19">
      <c r="E22" s="43"/>
      <c r="P22" t="s">
        <v>311</v>
      </c>
      <c r="Q22" s="246" t="s">
        <v>312</v>
      </c>
      <c r="R22">
        <v>8645</v>
      </c>
      <c r="S22">
        <v>1718</v>
      </c>
    </row>
    <row r="23" spans="2:19">
      <c r="E23" s="43"/>
      <c r="P23" t="s">
        <v>313</v>
      </c>
      <c r="Q23" s="246" t="s">
        <v>312</v>
      </c>
      <c r="R23">
        <v>7554</v>
      </c>
      <c r="S23">
        <v>2087</v>
      </c>
    </row>
    <row r="24" spans="2:19">
      <c r="E24" s="43"/>
      <c r="P24" t="s">
        <v>314</v>
      </c>
      <c r="Q24" s="246" t="s">
        <v>312</v>
      </c>
      <c r="R24">
        <v>6948</v>
      </c>
      <c r="S24">
        <v>2398</v>
      </c>
    </row>
    <row r="25" spans="2:19">
      <c r="B25" t="s">
        <v>370</v>
      </c>
      <c r="D25" t="s">
        <v>372</v>
      </c>
      <c r="E25" s="43"/>
      <c r="P25" t="s">
        <v>315</v>
      </c>
      <c r="Q25" s="246" t="s">
        <v>312</v>
      </c>
      <c r="R25">
        <v>6572</v>
      </c>
      <c r="S25">
        <v>2418</v>
      </c>
    </row>
    <row r="26" spans="2:19">
      <c r="B26" t="s">
        <v>371</v>
      </c>
      <c r="C26" s="41">
        <v>47</v>
      </c>
      <c r="D26" t="s">
        <v>373</v>
      </c>
      <c r="E26" s="43"/>
      <c r="P26" t="s">
        <v>316</v>
      </c>
      <c r="Q26" s="246" t="s">
        <v>317</v>
      </c>
      <c r="R26">
        <v>5169</v>
      </c>
      <c r="S26">
        <v>3198</v>
      </c>
    </row>
    <row r="27" spans="2:19">
      <c r="B27" t="s">
        <v>374</v>
      </c>
      <c r="C27">
        <f>180*24</f>
        <v>4320</v>
      </c>
      <c r="E27" s="43"/>
      <c r="P27" t="s">
        <v>318</v>
      </c>
      <c r="Q27" s="246" t="s">
        <v>319</v>
      </c>
      <c r="R27">
        <v>6894</v>
      </c>
      <c r="S27">
        <v>2525</v>
      </c>
    </row>
    <row r="28" spans="2:19">
      <c r="E28" s="43"/>
      <c r="P28" t="s">
        <v>320</v>
      </c>
      <c r="Q28" s="246" t="s">
        <v>319</v>
      </c>
      <c r="R28">
        <v>6747</v>
      </c>
      <c r="S28">
        <v>2468</v>
      </c>
    </row>
    <row r="29" spans="2:19">
      <c r="E29" s="43"/>
      <c r="P29" t="s">
        <v>321</v>
      </c>
      <c r="Q29" s="246" t="s">
        <v>319</v>
      </c>
      <c r="R29">
        <v>4805</v>
      </c>
      <c r="S29">
        <v>3634</v>
      </c>
    </row>
    <row r="30" spans="2:19">
      <c r="E30" s="43"/>
      <c r="P30" t="s">
        <v>322</v>
      </c>
      <c r="Q30" s="246" t="s">
        <v>319</v>
      </c>
      <c r="R30">
        <v>6734</v>
      </c>
      <c r="S30">
        <v>2406</v>
      </c>
    </row>
    <row r="31" spans="2:19">
      <c r="E31" s="43"/>
      <c r="P31" t="s">
        <v>323</v>
      </c>
      <c r="Q31" s="246" t="s">
        <v>319</v>
      </c>
      <c r="R31">
        <v>6881</v>
      </c>
      <c r="S31">
        <v>2500</v>
      </c>
    </row>
    <row r="32" spans="2:19">
      <c r="E32" s="43"/>
      <c r="P32" t="s">
        <v>324</v>
      </c>
      <c r="Q32" s="246" t="s">
        <v>325</v>
      </c>
      <c r="R32">
        <v>6201</v>
      </c>
      <c r="S32">
        <v>2755</v>
      </c>
    </row>
    <row r="33" spans="1:19">
      <c r="E33" s="43"/>
      <c r="P33" t="s">
        <v>326</v>
      </c>
      <c r="Q33" s="246" t="s">
        <v>327</v>
      </c>
      <c r="R33">
        <v>4954</v>
      </c>
      <c r="S33">
        <v>3623</v>
      </c>
    </row>
    <row r="34" spans="1:19">
      <c r="E34" s="43"/>
      <c r="P34" t="s">
        <v>328</v>
      </c>
      <c r="Q34" s="246" t="s">
        <v>327</v>
      </c>
      <c r="R34">
        <v>5968</v>
      </c>
      <c r="S34">
        <v>2836</v>
      </c>
    </row>
    <row r="35" spans="1:19">
      <c r="E35" s="43"/>
      <c r="P35" t="s">
        <v>329</v>
      </c>
      <c r="Q35" s="246" t="s">
        <v>327</v>
      </c>
      <c r="R35">
        <v>5584</v>
      </c>
      <c r="S35">
        <v>3079</v>
      </c>
    </row>
    <row r="36" spans="1:19">
      <c r="E36" s="43"/>
      <c r="P36" t="s">
        <v>330</v>
      </c>
      <c r="Q36" s="246" t="s">
        <v>331</v>
      </c>
      <c r="R36">
        <v>5884</v>
      </c>
      <c r="S36">
        <v>2743</v>
      </c>
    </row>
    <row r="37" spans="1:19">
      <c r="E37" s="43"/>
      <c r="P37" t="s">
        <v>332</v>
      </c>
      <c r="Q37" s="246" t="s">
        <v>333</v>
      </c>
      <c r="R37">
        <v>7771</v>
      </c>
      <c r="S37">
        <v>2228</v>
      </c>
    </row>
    <row r="38" spans="1:19">
      <c r="E38" s="43"/>
      <c r="P38" t="s">
        <v>334</v>
      </c>
      <c r="Q38" s="246" t="s">
        <v>333</v>
      </c>
      <c r="R38">
        <v>7066</v>
      </c>
      <c r="S38">
        <v>2345</v>
      </c>
    </row>
    <row r="39" spans="1:19">
      <c r="E39" s="43"/>
    </row>
    <row r="40" spans="1:19">
      <c r="E40" s="43"/>
    </row>
    <row r="41" spans="1:19">
      <c r="E41" s="43"/>
    </row>
    <row r="42" spans="1:19">
      <c r="E42" s="43"/>
    </row>
    <row r="43" spans="1:19">
      <c r="E43" s="43"/>
    </row>
    <row r="44" spans="1:19">
      <c r="E44" s="43"/>
    </row>
    <row r="45" spans="1:19">
      <c r="A45" s="1" t="s">
        <v>375</v>
      </c>
      <c r="B45" s="2" t="s">
        <v>376</v>
      </c>
      <c r="E45" s="43"/>
    </row>
    <row r="46" spans="1:19">
      <c r="B46" t="s">
        <v>377</v>
      </c>
      <c r="C46" s="2" t="s">
        <v>92</v>
      </c>
      <c r="E46" s="43"/>
    </row>
    <row r="47" spans="1:19">
      <c r="C47" t="s">
        <v>94</v>
      </c>
      <c r="E47" s="43"/>
    </row>
    <row r="48" spans="1:19">
      <c r="C48" t="s">
        <v>105</v>
      </c>
      <c r="D48" s="7"/>
      <c r="E48" s="10"/>
      <c r="F48" s="7"/>
    </row>
    <row r="49" spans="2:13">
      <c r="C49" t="s">
        <v>378</v>
      </c>
      <c r="D49" s="7"/>
      <c r="E49" s="10"/>
      <c r="F49" s="7"/>
    </row>
    <row r="50" spans="2:13" ht="47.25">
      <c r="D50" s="2"/>
      <c r="F50" s="153" t="s">
        <v>141</v>
      </c>
      <c r="G50" s="153"/>
      <c r="H50" s="340" t="s">
        <v>33</v>
      </c>
      <c r="I50" s="340"/>
      <c r="J50" s="231" t="s">
        <v>219</v>
      </c>
    </row>
    <row r="51" spans="2:13" ht="18.75">
      <c r="D51" t="s">
        <v>93</v>
      </c>
      <c r="E51" s="43" t="s">
        <v>96</v>
      </c>
      <c r="F51" s="41">
        <v>0</v>
      </c>
      <c r="G51" t="s">
        <v>95</v>
      </c>
      <c r="H51" s="41">
        <v>0</v>
      </c>
      <c r="I51" t="s">
        <v>32</v>
      </c>
      <c r="J51">
        <v>0</v>
      </c>
    </row>
    <row r="52" spans="2:13" ht="18.75">
      <c r="D52" s="63" t="s">
        <v>97</v>
      </c>
      <c r="E52" s="43" t="s">
        <v>98</v>
      </c>
      <c r="F52" s="41">
        <v>1888</v>
      </c>
      <c r="G52" t="s">
        <v>95</v>
      </c>
      <c r="H52" s="41">
        <v>10</v>
      </c>
      <c r="I52" t="s">
        <v>32</v>
      </c>
      <c r="J52">
        <f>IF(F52&gt;0,1,0)</f>
        <v>1</v>
      </c>
    </row>
    <row r="53" spans="2:13" ht="18.75">
      <c r="D53" s="63" t="s">
        <v>100</v>
      </c>
      <c r="E53" s="43" t="s">
        <v>99</v>
      </c>
      <c r="F53" s="41">
        <v>968</v>
      </c>
      <c r="G53" t="s">
        <v>95</v>
      </c>
      <c r="H53" s="41">
        <v>8</v>
      </c>
      <c r="I53" t="s">
        <v>32</v>
      </c>
      <c r="J53">
        <f t="shared" ref="J53:J55" si="0">IF(F53&gt;0,1,0)</f>
        <v>1</v>
      </c>
    </row>
    <row r="54" spans="2:13" ht="18.75">
      <c r="D54" s="63" t="s">
        <v>101</v>
      </c>
      <c r="E54" s="43" t="s">
        <v>102</v>
      </c>
      <c r="F54" s="41">
        <v>0</v>
      </c>
      <c r="G54" t="s">
        <v>95</v>
      </c>
      <c r="H54" s="41">
        <v>0</v>
      </c>
      <c r="I54" t="s">
        <v>32</v>
      </c>
      <c r="J54">
        <f t="shared" si="0"/>
        <v>0</v>
      </c>
    </row>
    <row r="55" spans="2:13" ht="18.75">
      <c r="D55" s="63" t="s">
        <v>103</v>
      </c>
      <c r="E55" s="43" t="s">
        <v>104</v>
      </c>
      <c r="F55" s="41">
        <v>0</v>
      </c>
      <c r="G55" t="s">
        <v>95</v>
      </c>
      <c r="H55" s="41">
        <v>0</v>
      </c>
      <c r="I55" t="s">
        <v>32</v>
      </c>
      <c r="J55">
        <f t="shared" si="0"/>
        <v>0</v>
      </c>
    </row>
    <row r="57" spans="2:13" ht="18.75">
      <c r="D57" s="231" t="s">
        <v>106</v>
      </c>
      <c r="E57" t="s">
        <v>107</v>
      </c>
      <c r="F57">
        <f>SUM(F51:F56)</f>
        <v>2856</v>
      </c>
      <c r="G57" t="s">
        <v>95</v>
      </c>
      <c r="J57" s="1">
        <f>SUM(J51:J55)</f>
        <v>2</v>
      </c>
      <c r="K57" s="1" t="s">
        <v>34</v>
      </c>
    </row>
    <row r="58" spans="2:13">
      <c r="D58" t="s">
        <v>218</v>
      </c>
      <c r="F58">
        <f>F52+F53+F54+F55</f>
        <v>2856</v>
      </c>
      <c r="G58" t="s">
        <v>95</v>
      </c>
    </row>
    <row r="60" spans="2:13" ht="31.5">
      <c r="D60" s="76" t="s">
        <v>379</v>
      </c>
      <c r="E60" s="41">
        <v>4</v>
      </c>
      <c r="F60" t="s">
        <v>37</v>
      </c>
    </row>
    <row r="61" spans="2:13">
      <c r="B61" t="s">
        <v>386</v>
      </c>
      <c r="C61" s="2" t="s">
        <v>380</v>
      </c>
    </row>
    <row r="62" spans="2:13">
      <c r="C62" s="337" t="s">
        <v>109</v>
      </c>
      <c r="D62" s="337"/>
      <c r="E62" s="337"/>
      <c r="F62" s="337"/>
      <c r="G62" s="337"/>
      <c r="H62" s="337"/>
      <c r="I62" s="337"/>
      <c r="J62" s="337"/>
      <c r="K62" s="337"/>
      <c r="L62" s="337"/>
      <c r="M62" s="337"/>
    </row>
    <row r="63" spans="2:13" ht="30" customHeight="1">
      <c r="C63" s="339" t="s">
        <v>110</v>
      </c>
      <c r="D63" s="339"/>
      <c r="E63" s="339"/>
      <c r="F63" s="339"/>
      <c r="G63" s="339"/>
      <c r="H63" s="339"/>
      <c r="I63" s="339"/>
      <c r="J63" s="339"/>
      <c r="K63" s="339"/>
      <c r="L63" s="339"/>
      <c r="M63" s="339"/>
    </row>
    <row r="64" spans="2:13" ht="15.75" customHeight="1">
      <c r="C64" t="s">
        <v>123</v>
      </c>
    </row>
    <row r="65" spans="3:17">
      <c r="D65" s="1" t="s">
        <v>111</v>
      </c>
      <c r="H65" t="s">
        <v>108</v>
      </c>
    </row>
    <row r="66" spans="3:17">
      <c r="C66" s="79" t="s">
        <v>112</v>
      </c>
      <c r="D66" s="76" t="s">
        <v>381</v>
      </c>
      <c r="F66" s="41">
        <v>0</v>
      </c>
      <c r="G66" t="s">
        <v>95</v>
      </c>
    </row>
    <row r="67" spans="3:17">
      <c r="C67" s="79" t="s">
        <v>113</v>
      </c>
      <c r="D67" t="s">
        <v>122</v>
      </c>
      <c r="F67" s="41">
        <v>1888</v>
      </c>
      <c r="G67" t="s">
        <v>95</v>
      </c>
      <c r="H67">
        <f>F67</f>
        <v>1888</v>
      </c>
      <c r="I67" t="s">
        <v>95</v>
      </c>
    </row>
    <row r="68" spans="3:17" ht="16.5" customHeight="1">
      <c r="C68" s="79" t="s">
        <v>113</v>
      </c>
      <c r="D68" s="76" t="s">
        <v>114</v>
      </c>
      <c r="F68" s="41">
        <v>240</v>
      </c>
      <c r="G68" t="s">
        <v>32</v>
      </c>
    </row>
    <row r="69" spans="3:17" ht="31.5">
      <c r="D69" s="76" t="s">
        <v>115</v>
      </c>
      <c r="F69" s="41">
        <v>1</v>
      </c>
      <c r="G69" t="s">
        <v>32</v>
      </c>
      <c r="H69">
        <f>F69*F68</f>
        <v>240</v>
      </c>
      <c r="I69" t="s">
        <v>95</v>
      </c>
    </row>
    <row r="70" spans="3:17" ht="31.5" customHeight="1">
      <c r="D70" s="76" t="s">
        <v>116</v>
      </c>
      <c r="F70" s="41">
        <v>4</v>
      </c>
      <c r="G70" t="s">
        <v>32</v>
      </c>
      <c r="H70">
        <f>F68*F70</f>
        <v>960</v>
      </c>
      <c r="I70" t="s">
        <v>95</v>
      </c>
    </row>
    <row r="71" spans="3:17" ht="18.75">
      <c r="D71" s="76" t="s">
        <v>382</v>
      </c>
      <c r="F71" s="41">
        <v>16</v>
      </c>
      <c r="G71" t="s">
        <v>32</v>
      </c>
      <c r="H71" t="s">
        <v>201</v>
      </c>
    </row>
    <row r="72" spans="3:17">
      <c r="D72" s="247" t="s">
        <v>117</v>
      </c>
    </row>
    <row r="73" spans="3:17">
      <c r="D73" s="76" t="s">
        <v>118</v>
      </c>
      <c r="F73" s="41">
        <v>800</v>
      </c>
      <c r="G73" t="s">
        <v>95</v>
      </c>
    </row>
    <row r="74" spans="3:17">
      <c r="D74" s="76" t="s">
        <v>119</v>
      </c>
      <c r="F74" s="41">
        <v>800</v>
      </c>
      <c r="G74" t="s">
        <v>95</v>
      </c>
    </row>
    <row r="75" spans="3:17">
      <c r="D75" s="76" t="s">
        <v>120</v>
      </c>
      <c r="F75" s="41">
        <v>800</v>
      </c>
      <c r="G75" t="s">
        <v>95</v>
      </c>
    </row>
    <row r="76" spans="3:17">
      <c r="D76" s="76" t="s">
        <v>121</v>
      </c>
      <c r="F76" s="41">
        <v>800</v>
      </c>
      <c r="G76" t="s">
        <v>95</v>
      </c>
    </row>
    <row r="78" spans="3:17" ht="18.75">
      <c r="D78" s="76" t="s">
        <v>383</v>
      </c>
      <c r="E78" s="63" t="s">
        <v>137</v>
      </c>
      <c r="F78" s="63">
        <f>SUM(F73:F76)</f>
        <v>3200</v>
      </c>
      <c r="G78" s="63" t="s">
        <v>95</v>
      </c>
    </row>
    <row r="80" spans="3:17" ht="33" customHeight="1">
      <c r="D80" s="247" t="s">
        <v>124</v>
      </c>
      <c r="E80" t="s">
        <v>131</v>
      </c>
      <c r="F80" s="232" t="s">
        <v>384</v>
      </c>
      <c r="G80" s="76" t="s">
        <v>133</v>
      </c>
      <c r="H80" s="76"/>
      <c r="I80" s="76" t="s">
        <v>143</v>
      </c>
      <c r="J80" s="76" t="s">
        <v>144</v>
      </c>
      <c r="K80" s="76" t="s">
        <v>145</v>
      </c>
      <c r="M80" s="340" t="s">
        <v>385</v>
      </c>
      <c r="N80" s="340"/>
      <c r="O80" s="340"/>
      <c r="P80" s="340"/>
      <c r="Q80" s="340"/>
    </row>
    <row r="81" spans="4:21">
      <c r="D81" t="s">
        <v>125</v>
      </c>
      <c r="E81" s="41">
        <v>18</v>
      </c>
      <c r="F81" s="41">
        <v>30</v>
      </c>
      <c r="G81">
        <f>F81*E81</f>
        <v>540</v>
      </c>
      <c r="I81" s="41">
        <v>3</v>
      </c>
      <c r="J81">
        <f>1/I81</f>
        <v>0.33333333333333331</v>
      </c>
      <c r="K81">
        <f>J81*G81</f>
        <v>180</v>
      </c>
      <c r="M81" t="s">
        <v>150</v>
      </c>
    </row>
    <row r="82" spans="4:21">
      <c r="D82" s="76" t="s">
        <v>126</v>
      </c>
      <c r="E82" s="41">
        <v>8</v>
      </c>
      <c r="F82" s="41">
        <v>16</v>
      </c>
      <c r="G82">
        <f t="shared" ref="G82:G84" si="1">F82*E82</f>
        <v>128</v>
      </c>
      <c r="I82" s="41">
        <v>3</v>
      </c>
      <c r="J82">
        <f t="shared" ref="J82:J84" si="2">1/I82</f>
        <v>0.33333333333333331</v>
      </c>
      <c r="K82">
        <f t="shared" ref="K82:K84" si="3">J82*G82</f>
        <v>42.666666666666664</v>
      </c>
    </row>
    <row r="83" spans="4:21">
      <c r="D83" t="s">
        <v>127</v>
      </c>
      <c r="E83" s="41">
        <v>0</v>
      </c>
      <c r="F83" s="41">
        <v>0</v>
      </c>
      <c r="G83">
        <f t="shared" si="1"/>
        <v>0</v>
      </c>
      <c r="I83" s="41">
        <v>3</v>
      </c>
      <c r="J83">
        <f t="shared" si="2"/>
        <v>0.33333333333333331</v>
      </c>
      <c r="K83">
        <f t="shared" si="3"/>
        <v>0</v>
      </c>
    </row>
    <row r="84" spans="4:21">
      <c r="D84" s="76" t="s">
        <v>128</v>
      </c>
      <c r="E84" s="41">
        <v>0</v>
      </c>
      <c r="F84" s="41">
        <v>0</v>
      </c>
      <c r="G84">
        <f t="shared" si="1"/>
        <v>0</v>
      </c>
      <c r="I84" s="41">
        <v>3</v>
      </c>
      <c r="J84">
        <f t="shared" si="2"/>
        <v>0.33333333333333331</v>
      </c>
      <c r="K84">
        <f t="shared" si="3"/>
        <v>0</v>
      </c>
    </row>
    <row r="85" spans="4:21">
      <c r="D85" t="s">
        <v>129</v>
      </c>
    </row>
    <row r="86" spans="4:21">
      <c r="D86" s="76" t="s">
        <v>130</v>
      </c>
    </row>
    <row r="87" spans="4:21">
      <c r="D87" t="s">
        <v>134</v>
      </c>
    </row>
    <row r="88" spans="4:21">
      <c r="D88" s="76" t="s">
        <v>135</v>
      </c>
    </row>
    <row r="89" spans="4:21">
      <c r="D89" t="s">
        <v>136</v>
      </c>
    </row>
    <row r="91" spans="4:21" ht="18.75">
      <c r="D91" t="s">
        <v>132</v>
      </c>
      <c r="E91">
        <f>SUM(E81:E84)</f>
        <v>26</v>
      </c>
      <c r="G91">
        <f>SUM(G81:G85)</f>
        <v>668</v>
      </c>
      <c r="I91" s="1" t="s">
        <v>146</v>
      </c>
      <c r="J91" s="1" t="s">
        <v>152</v>
      </c>
      <c r="K91" s="1">
        <f>SUM(K81:K90)</f>
        <v>222.66666666666666</v>
      </c>
    </row>
    <row r="92" spans="4:21">
      <c r="D92" t="s">
        <v>461</v>
      </c>
      <c r="E92" s="301">
        <f>(G91+G100)/F78</f>
        <v>0.25562499999999999</v>
      </c>
      <c r="G92" s="337"/>
      <c r="H92" s="337"/>
      <c r="N92" s="245"/>
      <c r="O92" s="245"/>
      <c r="P92" s="245"/>
      <c r="Q92" s="245"/>
      <c r="R92" s="245"/>
      <c r="S92" s="245"/>
      <c r="T92" s="245"/>
      <c r="U92" s="245"/>
    </row>
    <row r="93" spans="4:21">
      <c r="D93" t="s">
        <v>428</v>
      </c>
      <c r="E93" s="301">
        <f>0.5308*E92+0.0109</f>
        <v>0.14658575000000001</v>
      </c>
      <c r="G93" s="243"/>
      <c r="H93" s="243"/>
      <c r="N93" s="245"/>
      <c r="O93" s="245"/>
      <c r="P93" s="245"/>
      <c r="Q93" s="245"/>
      <c r="R93" s="245"/>
      <c r="S93" s="245"/>
      <c r="T93" s="245"/>
      <c r="U93" s="245"/>
    </row>
    <row r="94" spans="4:21">
      <c r="D94" t="s">
        <v>429</v>
      </c>
      <c r="E94" s="301">
        <f>0.4668*E92+0.2172</f>
        <v>0.33652575000000001</v>
      </c>
      <c r="G94" s="243"/>
      <c r="H94" s="243"/>
      <c r="N94" s="245"/>
      <c r="O94" s="245"/>
      <c r="P94" s="245"/>
      <c r="Q94" s="245"/>
      <c r="R94" s="245"/>
      <c r="S94" s="245"/>
      <c r="T94" s="245"/>
      <c r="U94" s="245"/>
    </row>
    <row r="95" spans="4:21" ht="31.5">
      <c r="D95" t="s">
        <v>5</v>
      </c>
      <c r="E95" t="s">
        <v>131</v>
      </c>
      <c r="F95" t="s">
        <v>141</v>
      </c>
      <c r="G95" t="s">
        <v>133</v>
      </c>
      <c r="I95" s="76" t="s">
        <v>147</v>
      </c>
      <c r="J95" s="76" t="s">
        <v>148</v>
      </c>
      <c r="K95" t="s">
        <v>149</v>
      </c>
      <c r="N95" s="245"/>
      <c r="O95" s="245"/>
      <c r="P95" s="245"/>
      <c r="Q95" s="245"/>
      <c r="R95" s="245"/>
      <c r="S95" s="245"/>
      <c r="T95" s="245"/>
      <c r="U95" s="245"/>
    </row>
    <row r="96" spans="4:21">
      <c r="D96" t="s">
        <v>138</v>
      </c>
      <c r="E96" s="41">
        <v>3</v>
      </c>
      <c r="F96" s="41">
        <v>22</v>
      </c>
      <c r="G96">
        <f>F96*E96</f>
        <v>66</v>
      </c>
      <c r="I96" s="41">
        <v>2</v>
      </c>
      <c r="J96">
        <f>1/I96</f>
        <v>0.5</v>
      </c>
      <c r="K96">
        <f>J96*G96</f>
        <v>33</v>
      </c>
    </row>
    <row r="97" spans="4:11">
      <c r="D97" t="s">
        <v>139</v>
      </c>
      <c r="E97" s="41">
        <v>2</v>
      </c>
      <c r="F97" s="41">
        <v>42</v>
      </c>
      <c r="G97">
        <f t="shared" ref="G97:G98" si="4">F97*E97</f>
        <v>84</v>
      </c>
      <c r="I97" s="41">
        <v>3</v>
      </c>
      <c r="J97">
        <f>1/I97</f>
        <v>0.33333333333333331</v>
      </c>
      <c r="K97">
        <f>J97*G97</f>
        <v>28</v>
      </c>
    </row>
    <row r="98" spans="4:11">
      <c r="D98" t="s">
        <v>140</v>
      </c>
      <c r="E98" s="41"/>
      <c r="F98" s="41"/>
      <c r="G98">
        <f t="shared" si="4"/>
        <v>0</v>
      </c>
      <c r="I98" s="41"/>
    </row>
    <row r="99" spans="4:11">
      <c r="E99" s="41"/>
      <c r="F99" s="41"/>
      <c r="I99" s="41"/>
    </row>
    <row r="100" spans="4:11" ht="18.75">
      <c r="D100" t="s">
        <v>142</v>
      </c>
      <c r="E100">
        <f>SUM(E96:E99)</f>
        <v>5</v>
      </c>
      <c r="G100">
        <f>SUM(G96:G99)</f>
        <v>150</v>
      </c>
      <c r="I100" s="1" t="s">
        <v>146</v>
      </c>
      <c r="J100" s="1" t="s">
        <v>151</v>
      </c>
      <c r="K100" s="1">
        <f>SUM(K96:K99)</f>
        <v>61</v>
      </c>
    </row>
    <row r="103" spans="4:11">
      <c r="D103" s="1" t="s">
        <v>23</v>
      </c>
      <c r="E103" s="1"/>
      <c r="F103" s="1"/>
      <c r="G103" s="1"/>
    </row>
    <row r="104" spans="4:11">
      <c r="D104" s="1" t="s">
        <v>155</v>
      </c>
      <c r="E104" s="1"/>
      <c r="F104" s="1">
        <f>F78-(G91+G100)</f>
        <v>2382</v>
      </c>
      <c r="G104" s="1" t="s">
        <v>95</v>
      </c>
    </row>
    <row r="106" spans="4:11">
      <c r="D106" t="s">
        <v>177</v>
      </c>
    </row>
    <row r="107" spans="4:11">
      <c r="D107" s="2" t="s">
        <v>178</v>
      </c>
    </row>
    <row r="108" spans="4:11" ht="21" customHeight="1">
      <c r="D108" t="s">
        <v>183</v>
      </c>
      <c r="E108" s="41">
        <v>1</v>
      </c>
      <c r="G108" s="153" t="s">
        <v>184</v>
      </c>
    </row>
    <row r="109" spans="4:11">
      <c r="D109" t="s">
        <v>179</v>
      </c>
      <c r="E109" s="41">
        <v>1888</v>
      </c>
      <c r="F109" t="s">
        <v>95</v>
      </c>
      <c r="G109" s="45">
        <f>(SQRT(12^2+$E$108^2)*E109)/$E$108</f>
        <v>22734.530564759854</v>
      </c>
    </row>
    <row r="110" spans="4:11">
      <c r="D110" t="s">
        <v>180</v>
      </c>
      <c r="E110" s="41">
        <v>0</v>
      </c>
      <c r="F110" t="s">
        <v>95</v>
      </c>
      <c r="G110" s="45">
        <f t="shared" ref="G110:G112" si="5">(SQRT(12^2+$E$108^2)*E110)/$E$108</f>
        <v>0</v>
      </c>
    </row>
    <row r="111" spans="4:11">
      <c r="D111" t="s">
        <v>181</v>
      </c>
      <c r="E111" s="41">
        <v>0</v>
      </c>
      <c r="F111" t="s">
        <v>95</v>
      </c>
      <c r="G111" s="45">
        <f t="shared" si="5"/>
        <v>0</v>
      </c>
    </row>
    <row r="112" spans="4:11">
      <c r="D112" t="s">
        <v>182</v>
      </c>
      <c r="E112" s="41">
        <v>0</v>
      </c>
      <c r="F112" t="s">
        <v>95</v>
      </c>
      <c r="G112" s="45">
        <f t="shared" si="5"/>
        <v>0</v>
      </c>
    </row>
    <row r="113" spans="4:8">
      <c r="D113" s="1" t="s">
        <v>185</v>
      </c>
      <c r="E113" s="1"/>
      <c r="F113" s="1"/>
      <c r="G113" s="83">
        <v>1888</v>
      </c>
      <c r="H113" s="1" t="s">
        <v>95</v>
      </c>
    </row>
  </sheetData>
  <mergeCells count="6">
    <mergeCell ref="G92:H92"/>
    <mergeCell ref="P3:S3"/>
    <mergeCell ref="H50:I50"/>
    <mergeCell ref="C62:M62"/>
    <mergeCell ref="C63:M63"/>
    <mergeCell ref="M80:Q80"/>
  </mergeCells>
  <pageMargins left="0.7" right="0.7" top="0.75" bottom="0.75" header="0.3" footer="0.3"/>
  <pageSetup orientation="portrait" horizontalDpi="0" verticalDpi="0" r:id="rId1"/>
  <drawing r:id="rId2"/>
</worksheet>
</file>

<file path=xl/worksheets/sheet8.xml><?xml version="1.0" encoding="utf-8"?>
<worksheet xmlns="http://schemas.openxmlformats.org/spreadsheetml/2006/main" xmlns:r="http://schemas.openxmlformats.org/officeDocument/2006/relationships">
  <dimension ref="A2:U113"/>
  <sheetViews>
    <sheetView topLeftCell="A73" workbookViewId="0">
      <selection activeCell="F98" sqref="F98"/>
    </sheetView>
  </sheetViews>
  <sheetFormatPr defaultRowHeight="15.75"/>
  <cols>
    <col min="2" max="2" width="15.875" customWidth="1"/>
    <col min="3" max="3" width="8.5" customWidth="1"/>
    <col min="4" max="4" width="21.25" customWidth="1"/>
    <col min="5" max="5" width="6.375" customWidth="1"/>
    <col min="6" max="6" width="9.25" customWidth="1"/>
    <col min="7" max="7" width="6.125" customWidth="1"/>
    <col min="8" max="8" width="6.5" customWidth="1"/>
    <col min="9" max="10" width="8.125" customWidth="1"/>
    <col min="11" max="11" width="4.25" customWidth="1"/>
    <col min="12" max="12" width="4.875" customWidth="1"/>
    <col min="14" max="14" width="11.5" customWidth="1"/>
    <col min="15" max="15" width="7" customWidth="1"/>
    <col min="16" max="16" width="17.375" customWidth="1"/>
    <col min="17" max="17" width="5.625" customWidth="1"/>
    <col min="18" max="18" width="7.875" customWidth="1"/>
  </cols>
  <sheetData>
    <row r="2" spans="1:19">
      <c r="A2" s="1" t="s">
        <v>361</v>
      </c>
      <c r="B2" s="2" t="s">
        <v>362</v>
      </c>
    </row>
    <row r="3" spans="1:19" ht="25.5" customHeight="1">
      <c r="B3" t="s">
        <v>363</v>
      </c>
      <c r="D3" t="s">
        <v>364</v>
      </c>
      <c r="P3" s="338" t="s">
        <v>336</v>
      </c>
      <c r="Q3" s="338"/>
      <c r="R3" s="338"/>
      <c r="S3" s="338"/>
    </row>
    <row r="4" spans="1:19">
      <c r="B4" t="s">
        <v>279</v>
      </c>
      <c r="C4" s="41">
        <v>6948</v>
      </c>
      <c r="P4" s="1" t="s">
        <v>278</v>
      </c>
      <c r="Q4" s="1" t="s">
        <v>337</v>
      </c>
      <c r="R4" s="1" t="s">
        <v>279</v>
      </c>
      <c r="S4" s="1" t="s">
        <v>280</v>
      </c>
    </row>
    <row r="5" spans="1:19">
      <c r="B5" t="s">
        <v>367</v>
      </c>
      <c r="C5">
        <v>65</v>
      </c>
      <c r="D5" t="s">
        <v>365</v>
      </c>
      <c r="P5" t="s">
        <v>281</v>
      </c>
      <c r="Q5" s="246" t="s">
        <v>282</v>
      </c>
      <c r="R5">
        <v>10570</v>
      </c>
      <c r="S5">
        <v>688</v>
      </c>
    </row>
    <row r="6" spans="1:19">
      <c r="B6" t="s">
        <v>368</v>
      </c>
      <c r="D6" t="s">
        <v>369</v>
      </c>
      <c r="P6" t="s">
        <v>283</v>
      </c>
      <c r="Q6" s="246" t="s">
        <v>282</v>
      </c>
      <c r="R6">
        <v>13940</v>
      </c>
      <c r="S6">
        <v>1040</v>
      </c>
    </row>
    <row r="7" spans="1:19">
      <c r="B7" t="s">
        <v>366</v>
      </c>
      <c r="C7" s="41">
        <v>0</v>
      </c>
      <c r="P7" t="s">
        <v>335</v>
      </c>
      <c r="Q7" s="246" t="s">
        <v>284</v>
      </c>
      <c r="R7">
        <v>3016</v>
      </c>
      <c r="S7">
        <v>2883</v>
      </c>
    </row>
    <row r="8" spans="1:19">
      <c r="P8" t="s">
        <v>285</v>
      </c>
      <c r="Q8" s="246" t="s">
        <v>286</v>
      </c>
      <c r="R8">
        <v>5554</v>
      </c>
      <c r="S8">
        <v>2820</v>
      </c>
    </row>
    <row r="9" spans="1:19">
      <c r="P9" t="s">
        <v>287</v>
      </c>
      <c r="Q9" s="246" t="s">
        <v>288</v>
      </c>
      <c r="R9">
        <v>6155</v>
      </c>
      <c r="S9">
        <v>2768</v>
      </c>
    </row>
    <row r="10" spans="1:19">
      <c r="P10" t="s">
        <v>289</v>
      </c>
      <c r="Q10" s="246" t="s">
        <v>290</v>
      </c>
      <c r="R10">
        <v>4337</v>
      </c>
      <c r="S10">
        <v>3894</v>
      </c>
    </row>
    <row r="11" spans="1:19">
      <c r="P11" t="s">
        <v>291</v>
      </c>
      <c r="Q11" s="246" t="s">
        <v>292</v>
      </c>
      <c r="R11">
        <v>0</v>
      </c>
      <c r="S11">
        <v>9949</v>
      </c>
    </row>
    <row r="12" spans="1:19">
      <c r="P12" t="s">
        <v>293</v>
      </c>
      <c r="Q12" s="246" t="s">
        <v>294</v>
      </c>
      <c r="R12">
        <v>5861</v>
      </c>
      <c r="S12">
        <v>2807</v>
      </c>
    </row>
    <row r="13" spans="1:19">
      <c r="P13" t="s">
        <v>295</v>
      </c>
      <c r="Q13" s="246" t="s">
        <v>296</v>
      </c>
      <c r="R13">
        <v>6536</v>
      </c>
      <c r="S13">
        <v>2941</v>
      </c>
    </row>
    <row r="14" spans="1:19">
      <c r="P14" t="s">
        <v>298</v>
      </c>
      <c r="Q14" s="246" t="s">
        <v>297</v>
      </c>
      <c r="R14">
        <v>5536</v>
      </c>
      <c r="S14">
        <v>3353</v>
      </c>
    </row>
    <row r="15" spans="1:19">
      <c r="P15" t="s">
        <v>300</v>
      </c>
      <c r="Q15" s="246" t="s">
        <v>299</v>
      </c>
      <c r="R15">
        <v>7930</v>
      </c>
      <c r="S15">
        <v>1916</v>
      </c>
    </row>
    <row r="16" spans="1:19">
      <c r="P16" t="s">
        <v>301</v>
      </c>
      <c r="Q16" s="246" t="s">
        <v>299</v>
      </c>
      <c r="R16">
        <v>7378</v>
      </c>
      <c r="S16">
        <v>1943</v>
      </c>
    </row>
    <row r="17" spans="2:19">
      <c r="P17" t="s">
        <v>302</v>
      </c>
      <c r="Q17" s="246" t="s">
        <v>303</v>
      </c>
      <c r="R17">
        <v>4707</v>
      </c>
      <c r="S17">
        <v>3709</v>
      </c>
    </row>
    <row r="18" spans="2:19">
      <c r="P18" t="s">
        <v>305</v>
      </c>
      <c r="Q18" s="246" t="s">
        <v>304</v>
      </c>
      <c r="R18">
        <v>5641</v>
      </c>
      <c r="S18">
        <v>2897</v>
      </c>
    </row>
    <row r="19" spans="2:19">
      <c r="P19" t="s">
        <v>306</v>
      </c>
      <c r="Q19" s="246" t="s">
        <v>304</v>
      </c>
      <c r="R19">
        <v>5754</v>
      </c>
      <c r="S19">
        <v>3037</v>
      </c>
    </row>
    <row r="20" spans="2:19">
      <c r="P20" t="s">
        <v>307</v>
      </c>
      <c r="Q20" s="246" t="s">
        <v>308</v>
      </c>
      <c r="R20">
        <v>6167</v>
      </c>
      <c r="S20">
        <v>3046</v>
      </c>
    </row>
    <row r="21" spans="2:19">
      <c r="D21" s="1"/>
      <c r="P21" t="s">
        <v>309</v>
      </c>
      <c r="Q21" s="246" t="s">
        <v>310</v>
      </c>
      <c r="R21">
        <v>7981</v>
      </c>
      <c r="S21">
        <v>2680</v>
      </c>
    </row>
    <row r="22" spans="2:19">
      <c r="E22" s="43"/>
      <c r="P22" t="s">
        <v>311</v>
      </c>
      <c r="Q22" s="246" t="s">
        <v>312</v>
      </c>
      <c r="R22">
        <v>8645</v>
      </c>
      <c r="S22">
        <v>1718</v>
      </c>
    </row>
    <row r="23" spans="2:19">
      <c r="E23" s="43"/>
      <c r="P23" t="s">
        <v>313</v>
      </c>
      <c r="Q23" s="246" t="s">
        <v>312</v>
      </c>
      <c r="R23">
        <v>7554</v>
      </c>
      <c r="S23">
        <v>2087</v>
      </c>
    </row>
    <row r="24" spans="2:19">
      <c r="E24" s="43"/>
      <c r="P24" t="s">
        <v>314</v>
      </c>
      <c r="Q24" s="246" t="s">
        <v>312</v>
      </c>
      <c r="R24">
        <v>6948</v>
      </c>
      <c r="S24">
        <v>2398</v>
      </c>
    </row>
    <row r="25" spans="2:19">
      <c r="B25" t="s">
        <v>370</v>
      </c>
      <c r="D25" t="s">
        <v>372</v>
      </c>
      <c r="E25" s="43"/>
      <c r="P25" t="s">
        <v>315</v>
      </c>
      <c r="Q25" s="246" t="s">
        <v>312</v>
      </c>
      <c r="R25">
        <v>6572</v>
      </c>
      <c r="S25">
        <v>2418</v>
      </c>
    </row>
    <row r="26" spans="2:19">
      <c r="B26" t="s">
        <v>371</v>
      </c>
      <c r="C26" s="41">
        <v>47</v>
      </c>
      <c r="D26" t="s">
        <v>373</v>
      </c>
      <c r="E26" s="43"/>
      <c r="P26" t="s">
        <v>316</v>
      </c>
      <c r="Q26" s="246" t="s">
        <v>317</v>
      </c>
      <c r="R26">
        <v>5169</v>
      </c>
      <c r="S26">
        <v>3198</v>
      </c>
    </row>
    <row r="27" spans="2:19">
      <c r="B27" t="s">
        <v>374</v>
      </c>
      <c r="C27">
        <f>180*24</f>
        <v>4320</v>
      </c>
      <c r="E27" s="43"/>
      <c r="P27" t="s">
        <v>318</v>
      </c>
      <c r="Q27" s="246" t="s">
        <v>319</v>
      </c>
      <c r="R27">
        <v>6894</v>
      </c>
      <c r="S27">
        <v>2525</v>
      </c>
    </row>
    <row r="28" spans="2:19">
      <c r="E28" s="43"/>
      <c r="P28" t="s">
        <v>320</v>
      </c>
      <c r="Q28" s="246" t="s">
        <v>319</v>
      </c>
      <c r="R28">
        <v>6747</v>
      </c>
      <c r="S28">
        <v>2468</v>
      </c>
    </row>
    <row r="29" spans="2:19">
      <c r="E29" s="43"/>
      <c r="P29" t="s">
        <v>321</v>
      </c>
      <c r="Q29" s="246" t="s">
        <v>319</v>
      </c>
      <c r="R29">
        <v>4805</v>
      </c>
      <c r="S29">
        <v>3634</v>
      </c>
    </row>
    <row r="30" spans="2:19">
      <c r="E30" s="43"/>
      <c r="P30" t="s">
        <v>322</v>
      </c>
      <c r="Q30" s="246" t="s">
        <v>319</v>
      </c>
      <c r="R30">
        <v>6734</v>
      </c>
      <c r="S30">
        <v>2406</v>
      </c>
    </row>
    <row r="31" spans="2:19">
      <c r="E31" s="43"/>
      <c r="P31" t="s">
        <v>323</v>
      </c>
      <c r="Q31" s="246" t="s">
        <v>319</v>
      </c>
      <c r="R31">
        <v>6881</v>
      </c>
      <c r="S31">
        <v>2500</v>
      </c>
    </row>
    <row r="32" spans="2:19">
      <c r="E32" s="43"/>
      <c r="P32" t="s">
        <v>324</v>
      </c>
      <c r="Q32" s="246" t="s">
        <v>325</v>
      </c>
      <c r="R32">
        <v>6201</v>
      </c>
      <c r="S32">
        <v>2755</v>
      </c>
    </row>
    <row r="33" spans="1:19">
      <c r="E33" s="43"/>
      <c r="P33" t="s">
        <v>326</v>
      </c>
      <c r="Q33" s="246" t="s">
        <v>327</v>
      </c>
      <c r="R33">
        <v>4954</v>
      </c>
      <c r="S33">
        <v>3623</v>
      </c>
    </row>
    <row r="34" spans="1:19">
      <c r="E34" s="43"/>
      <c r="P34" t="s">
        <v>328</v>
      </c>
      <c r="Q34" s="246" t="s">
        <v>327</v>
      </c>
      <c r="R34">
        <v>5968</v>
      </c>
      <c r="S34">
        <v>2836</v>
      </c>
    </row>
    <row r="35" spans="1:19">
      <c r="E35" s="43"/>
      <c r="P35" t="s">
        <v>329</v>
      </c>
      <c r="Q35" s="246" t="s">
        <v>327</v>
      </c>
      <c r="R35">
        <v>5584</v>
      </c>
      <c r="S35">
        <v>3079</v>
      </c>
    </row>
    <row r="36" spans="1:19">
      <c r="E36" s="43"/>
      <c r="P36" t="s">
        <v>330</v>
      </c>
      <c r="Q36" s="246" t="s">
        <v>331</v>
      </c>
      <c r="R36">
        <v>5884</v>
      </c>
      <c r="S36">
        <v>2743</v>
      </c>
    </row>
    <row r="37" spans="1:19">
      <c r="E37" s="43"/>
      <c r="P37" t="s">
        <v>332</v>
      </c>
      <c r="Q37" s="246" t="s">
        <v>333</v>
      </c>
      <c r="R37">
        <v>7771</v>
      </c>
      <c r="S37">
        <v>2228</v>
      </c>
    </row>
    <row r="38" spans="1:19">
      <c r="E38" s="43"/>
      <c r="P38" t="s">
        <v>334</v>
      </c>
      <c r="Q38" s="246" t="s">
        <v>333</v>
      </c>
      <c r="R38">
        <v>7066</v>
      </c>
      <c r="S38">
        <v>2345</v>
      </c>
    </row>
    <row r="39" spans="1:19">
      <c r="E39" s="43"/>
    </row>
    <row r="40" spans="1:19">
      <c r="E40" s="43"/>
    </row>
    <row r="41" spans="1:19">
      <c r="E41" s="43"/>
    </row>
    <row r="42" spans="1:19">
      <c r="E42" s="43"/>
    </row>
    <row r="43" spans="1:19">
      <c r="E43" s="43"/>
    </row>
    <row r="44" spans="1:19">
      <c r="E44" s="43"/>
    </row>
    <row r="45" spans="1:19">
      <c r="A45" s="1" t="s">
        <v>375</v>
      </c>
      <c r="B45" s="2" t="s">
        <v>376</v>
      </c>
      <c r="E45" s="43"/>
    </row>
    <row r="46" spans="1:19">
      <c r="B46" t="s">
        <v>377</v>
      </c>
      <c r="C46" s="2" t="s">
        <v>92</v>
      </c>
      <c r="E46" s="43"/>
    </row>
    <row r="47" spans="1:19">
      <c r="C47" t="s">
        <v>94</v>
      </c>
      <c r="E47" s="43"/>
    </row>
    <row r="48" spans="1:19">
      <c r="C48" t="s">
        <v>105</v>
      </c>
      <c r="D48" s="7"/>
      <c r="E48" s="10"/>
      <c r="F48" s="7"/>
    </row>
    <row r="49" spans="2:13">
      <c r="C49" t="s">
        <v>378</v>
      </c>
      <c r="D49" s="7"/>
      <c r="E49" s="10"/>
      <c r="F49" s="7"/>
    </row>
    <row r="50" spans="2:13" ht="47.25">
      <c r="D50" s="2"/>
      <c r="F50" s="153" t="s">
        <v>141</v>
      </c>
      <c r="G50" s="153"/>
      <c r="H50" s="340" t="s">
        <v>33</v>
      </c>
      <c r="I50" s="340"/>
      <c r="J50" s="231" t="s">
        <v>219</v>
      </c>
    </row>
    <row r="51" spans="2:13" ht="18.75">
      <c r="D51" t="s">
        <v>93</v>
      </c>
      <c r="E51" s="43" t="s">
        <v>96</v>
      </c>
      <c r="F51" s="41">
        <v>0</v>
      </c>
      <c r="G51" t="s">
        <v>95</v>
      </c>
      <c r="H51" s="41">
        <v>0</v>
      </c>
      <c r="I51" t="s">
        <v>32</v>
      </c>
      <c r="J51">
        <v>0</v>
      </c>
    </row>
    <row r="52" spans="2:13" ht="18.75">
      <c r="D52" s="63" t="s">
        <v>97</v>
      </c>
      <c r="E52" s="43" t="s">
        <v>98</v>
      </c>
      <c r="F52" s="41">
        <v>720</v>
      </c>
      <c r="G52" t="s">
        <v>95</v>
      </c>
      <c r="H52" s="41">
        <v>9</v>
      </c>
      <c r="I52" t="s">
        <v>32</v>
      </c>
      <c r="J52">
        <f>IF(F52&gt;0,1,0)</f>
        <v>1</v>
      </c>
    </row>
    <row r="53" spans="2:13" ht="18.75">
      <c r="D53" s="63" t="s">
        <v>100</v>
      </c>
      <c r="E53" s="43" t="s">
        <v>99</v>
      </c>
      <c r="F53" s="41">
        <v>0</v>
      </c>
      <c r="G53" t="s">
        <v>95</v>
      </c>
      <c r="H53" s="41">
        <v>0</v>
      </c>
      <c r="I53" t="s">
        <v>32</v>
      </c>
      <c r="J53">
        <f t="shared" ref="J53:J55" si="0">IF(F53&gt;0,1,0)</f>
        <v>0</v>
      </c>
    </row>
    <row r="54" spans="2:13" ht="18.75">
      <c r="D54" s="63" t="s">
        <v>101</v>
      </c>
      <c r="E54" s="43" t="s">
        <v>102</v>
      </c>
      <c r="F54" s="41">
        <v>0</v>
      </c>
      <c r="G54" t="s">
        <v>95</v>
      </c>
      <c r="H54" s="41">
        <v>0</v>
      </c>
      <c r="I54" t="s">
        <v>32</v>
      </c>
      <c r="J54">
        <f t="shared" si="0"/>
        <v>0</v>
      </c>
    </row>
    <row r="55" spans="2:13" ht="18.75">
      <c r="D55" s="63" t="s">
        <v>103</v>
      </c>
      <c r="E55" s="43" t="s">
        <v>104</v>
      </c>
      <c r="F55" s="41">
        <v>720</v>
      </c>
      <c r="G55" t="s">
        <v>95</v>
      </c>
      <c r="H55" s="41">
        <v>8</v>
      </c>
      <c r="I55" t="s">
        <v>32</v>
      </c>
      <c r="J55">
        <f t="shared" si="0"/>
        <v>1</v>
      </c>
    </row>
    <row r="57" spans="2:13" ht="18.75">
      <c r="D57" s="231" t="s">
        <v>106</v>
      </c>
      <c r="E57" t="s">
        <v>107</v>
      </c>
      <c r="F57">
        <f>SUM(F51:F56)</f>
        <v>1440</v>
      </c>
      <c r="G57" t="s">
        <v>95</v>
      </c>
      <c r="J57" s="1">
        <f>SUM(J51:J55)</f>
        <v>2</v>
      </c>
      <c r="K57" s="1" t="s">
        <v>34</v>
      </c>
    </row>
    <row r="58" spans="2:13">
      <c r="D58" t="s">
        <v>218</v>
      </c>
      <c r="F58">
        <f>F52+F53+F54+F55</f>
        <v>1440</v>
      </c>
      <c r="G58" t="s">
        <v>95</v>
      </c>
    </row>
    <row r="60" spans="2:13" ht="31.5">
      <c r="D60" s="76" t="s">
        <v>379</v>
      </c>
      <c r="E60" s="41">
        <v>4</v>
      </c>
      <c r="F60" t="s">
        <v>37</v>
      </c>
    </row>
    <row r="61" spans="2:13">
      <c r="B61" t="s">
        <v>386</v>
      </c>
      <c r="C61" s="2" t="s">
        <v>380</v>
      </c>
    </row>
    <row r="62" spans="2:13">
      <c r="C62" s="337" t="s">
        <v>109</v>
      </c>
      <c r="D62" s="337"/>
      <c r="E62" s="337"/>
      <c r="F62" s="337"/>
      <c r="G62" s="337"/>
      <c r="H62" s="337"/>
      <c r="I62" s="337"/>
      <c r="J62" s="337"/>
      <c r="K62" s="337"/>
      <c r="L62" s="337"/>
      <c r="M62" s="337"/>
    </row>
    <row r="63" spans="2:13" ht="30" customHeight="1">
      <c r="C63" s="339" t="s">
        <v>110</v>
      </c>
      <c r="D63" s="339"/>
      <c r="E63" s="339"/>
      <c r="F63" s="339"/>
      <c r="G63" s="339"/>
      <c r="H63" s="339"/>
      <c r="I63" s="339"/>
      <c r="J63" s="339"/>
      <c r="K63" s="339"/>
      <c r="L63" s="339"/>
      <c r="M63" s="339"/>
    </row>
    <row r="64" spans="2:13" ht="15.75" customHeight="1">
      <c r="C64" t="s">
        <v>123</v>
      </c>
    </row>
    <row r="65" spans="3:17">
      <c r="D65" s="1" t="s">
        <v>111</v>
      </c>
      <c r="H65" t="s">
        <v>108</v>
      </c>
    </row>
    <row r="66" spans="3:17">
      <c r="C66" s="79" t="s">
        <v>112</v>
      </c>
      <c r="D66" s="76" t="s">
        <v>381</v>
      </c>
      <c r="F66" s="41">
        <v>0</v>
      </c>
      <c r="G66" t="s">
        <v>95</v>
      </c>
    </row>
    <row r="67" spans="3:17">
      <c r="C67" s="79" t="s">
        <v>113</v>
      </c>
      <c r="D67" t="s">
        <v>122</v>
      </c>
      <c r="F67" s="41">
        <v>720</v>
      </c>
      <c r="G67" t="s">
        <v>95</v>
      </c>
      <c r="H67">
        <f>F67</f>
        <v>720</v>
      </c>
      <c r="I67" t="s">
        <v>95</v>
      </c>
    </row>
    <row r="68" spans="3:17" ht="16.5" customHeight="1">
      <c r="C68" s="79" t="s">
        <v>113</v>
      </c>
      <c r="D68" s="76" t="s">
        <v>114</v>
      </c>
      <c r="F68" s="41">
        <v>108</v>
      </c>
      <c r="G68" t="s">
        <v>32</v>
      </c>
    </row>
    <row r="69" spans="3:17" ht="31.5">
      <c r="D69" s="76" t="s">
        <v>115</v>
      </c>
      <c r="F69" s="41">
        <v>1</v>
      </c>
      <c r="G69" t="s">
        <v>32</v>
      </c>
      <c r="H69">
        <f>F69*F68</f>
        <v>108</v>
      </c>
      <c r="I69" t="s">
        <v>95</v>
      </c>
    </row>
    <row r="70" spans="3:17" ht="31.5" customHeight="1">
      <c r="D70" s="76" t="s">
        <v>116</v>
      </c>
      <c r="F70" s="41">
        <v>4</v>
      </c>
      <c r="G70" t="s">
        <v>32</v>
      </c>
      <c r="H70">
        <f>F68*F70</f>
        <v>432</v>
      </c>
      <c r="I70" t="s">
        <v>95</v>
      </c>
    </row>
    <row r="71" spans="3:17" ht="18.75">
      <c r="D71" s="76" t="s">
        <v>382</v>
      </c>
      <c r="F71" s="41">
        <v>16</v>
      </c>
      <c r="G71" t="s">
        <v>32</v>
      </c>
      <c r="H71" t="s">
        <v>201</v>
      </c>
    </row>
    <row r="72" spans="3:17">
      <c r="D72" s="247" t="s">
        <v>117</v>
      </c>
    </row>
    <row r="73" spans="3:17">
      <c r="D73" s="76" t="s">
        <v>118</v>
      </c>
      <c r="F73" s="41">
        <v>360</v>
      </c>
      <c r="G73" t="s">
        <v>95</v>
      </c>
    </row>
    <row r="74" spans="3:17">
      <c r="D74" s="76" t="s">
        <v>119</v>
      </c>
      <c r="F74" s="41">
        <v>360</v>
      </c>
      <c r="G74" t="s">
        <v>95</v>
      </c>
    </row>
    <row r="75" spans="3:17">
      <c r="D75" s="76" t="s">
        <v>120</v>
      </c>
      <c r="F75" s="41">
        <v>336</v>
      </c>
      <c r="G75" t="s">
        <v>95</v>
      </c>
    </row>
    <row r="76" spans="3:17">
      <c r="D76" s="76" t="s">
        <v>121</v>
      </c>
      <c r="F76" s="41">
        <v>336</v>
      </c>
      <c r="G76" t="s">
        <v>95</v>
      </c>
    </row>
    <row r="78" spans="3:17" ht="18.75">
      <c r="D78" s="76" t="s">
        <v>383</v>
      </c>
      <c r="E78" s="63" t="s">
        <v>137</v>
      </c>
      <c r="F78" s="63">
        <f>SUM(F73:F76)</f>
        <v>1392</v>
      </c>
      <c r="G78" s="63" t="s">
        <v>95</v>
      </c>
    </row>
    <row r="80" spans="3:17" ht="33" customHeight="1">
      <c r="D80" s="247" t="s">
        <v>124</v>
      </c>
      <c r="E80" t="s">
        <v>131</v>
      </c>
      <c r="F80" s="232" t="s">
        <v>384</v>
      </c>
      <c r="G80" s="76" t="s">
        <v>133</v>
      </c>
      <c r="H80" s="76"/>
      <c r="I80" s="76" t="s">
        <v>143</v>
      </c>
      <c r="J80" s="76" t="s">
        <v>144</v>
      </c>
      <c r="K80" s="76" t="s">
        <v>145</v>
      </c>
      <c r="M80" s="340" t="s">
        <v>385</v>
      </c>
      <c r="N80" s="340"/>
      <c r="O80" s="340"/>
      <c r="P80" s="340"/>
      <c r="Q80" s="340"/>
    </row>
    <row r="81" spans="4:21">
      <c r="D81" t="s">
        <v>125</v>
      </c>
      <c r="E81" s="41">
        <v>6</v>
      </c>
      <c r="F81" s="41">
        <v>15</v>
      </c>
      <c r="G81">
        <f>F81*E81</f>
        <v>90</v>
      </c>
      <c r="I81" s="41">
        <v>3</v>
      </c>
      <c r="J81">
        <f>1/I81</f>
        <v>0.33333333333333331</v>
      </c>
      <c r="K81">
        <f>J81*G81</f>
        <v>30</v>
      </c>
      <c r="M81" t="s">
        <v>150</v>
      </c>
    </row>
    <row r="82" spans="4:21">
      <c r="D82" s="76" t="s">
        <v>126</v>
      </c>
      <c r="E82" s="41">
        <v>7</v>
      </c>
      <c r="F82" s="41">
        <v>9</v>
      </c>
      <c r="G82">
        <f t="shared" ref="G82:G84" si="1">F82*E82</f>
        <v>63</v>
      </c>
      <c r="I82" s="41">
        <v>3</v>
      </c>
      <c r="J82">
        <f t="shared" ref="J82:J84" si="2">1/I82</f>
        <v>0.33333333333333331</v>
      </c>
      <c r="K82">
        <f t="shared" ref="K82:K84" si="3">J82*G82</f>
        <v>21</v>
      </c>
    </row>
    <row r="83" spans="4:21">
      <c r="D83" t="s">
        <v>127</v>
      </c>
      <c r="E83" s="41">
        <v>0</v>
      </c>
      <c r="F83" s="41">
        <v>0</v>
      </c>
      <c r="G83">
        <f t="shared" si="1"/>
        <v>0</v>
      </c>
      <c r="I83" s="41">
        <v>3</v>
      </c>
      <c r="J83">
        <f t="shared" si="2"/>
        <v>0.33333333333333331</v>
      </c>
      <c r="K83">
        <f t="shared" si="3"/>
        <v>0</v>
      </c>
    </row>
    <row r="84" spans="4:21">
      <c r="D84" s="76" t="s">
        <v>128</v>
      </c>
      <c r="E84" s="41">
        <v>0</v>
      </c>
      <c r="F84" s="41">
        <v>0</v>
      </c>
      <c r="G84">
        <f t="shared" si="1"/>
        <v>0</v>
      </c>
      <c r="I84" s="41">
        <v>3</v>
      </c>
      <c r="J84">
        <f t="shared" si="2"/>
        <v>0.33333333333333331</v>
      </c>
      <c r="K84">
        <f t="shared" si="3"/>
        <v>0</v>
      </c>
    </row>
    <row r="85" spans="4:21">
      <c r="D85" t="s">
        <v>129</v>
      </c>
    </row>
    <row r="86" spans="4:21">
      <c r="D86" s="76" t="s">
        <v>130</v>
      </c>
    </row>
    <row r="87" spans="4:21">
      <c r="D87" t="s">
        <v>134</v>
      </c>
    </row>
    <row r="88" spans="4:21">
      <c r="D88" s="76" t="s">
        <v>135</v>
      </c>
    </row>
    <row r="89" spans="4:21">
      <c r="D89" t="s">
        <v>136</v>
      </c>
    </row>
    <row r="91" spans="4:21" ht="18.75">
      <c r="D91" t="s">
        <v>132</v>
      </c>
      <c r="E91">
        <f>SUM(E81:E84)</f>
        <v>13</v>
      </c>
      <c r="G91">
        <f>SUM(G81:G85)</f>
        <v>153</v>
      </c>
      <c r="I91" s="1" t="s">
        <v>146</v>
      </c>
      <c r="J91" s="1" t="s">
        <v>152</v>
      </c>
      <c r="K91" s="1">
        <f>SUM(K81:K90)</f>
        <v>51</v>
      </c>
    </row>
    <row r="92" spans="4:21">
      <c r="D92" t="s">
        <v>461</v>
      </c>
      <c r="E92" s="301">
        <f>(G91+G100)/F78</f>
        <v>0.15804597701149425</v>
      </c>
      <c r="G92" s="337"/>
      <c r="H92" s="337"/>
      <c r="N92" s="245"/>
      <c r="O92" s="245"/>
      <c r="P92" s="245"/>
      <c r="Q92" s="245"/>
      <c r="R92" s="245"/>
      <c r="S92" s="245"/>
      <c r="T92" s="245"/>
      <c r="U92" s="245"/>
    </row>
    <row r="93" spans="4:21">
      <c r="D93" t="s">
        <v>428</v>
      </c>
      <c r="E93" s="301">
        <f>0.5308*E92+0.0109</f>
        <v>9.4790804597701145E-2</v>
      </c>
      <c r="G93" s="243"/>
      <c r="H93" s="243"/>
      <c r="N93" s="245"/>
      <c r="O93" s="245"/>
      <c r="P93" s="245"/>
      <c r="Q93" s="245"/>
      <c r="R93" s="245"/>
      <c r="S93" s="245"/>
      <c r="T93" s="245"/>
      <c r="U93" s="245"/>
    </row>
    <row r="94" spans="4:21">
      <c r="D94" t="s">
        <v>429</v>
      </c>
      <c r="E94" s="301">
        <f>0.4668*E92+0.2172</f>
        <v>0.29097586206896553</v>
      </c>
      <c r="G94" s="243"/>
      <c r="H94" s="243"/>
      <c r="N94" s="245"/>
      <c r="O94" s="245"/>
      <c r="P94" s="245"/>
      <c r="Q94" s="245"/>
      <c r="R94" s="245"/>
      <c r="S94" s="245"/>
      <c r="T94" s="245"/>
      <c r="U94" s="245"/>
    </row>
    <row r="95" spans="4:21" ht="31.5">
      <c r="D95" t="s">
        <v>5</v>
      </c>
      <c r="E95" t="s">
        <v>131</v>
      </c>
      <c r="F95" t="s">
        <v>141</v>
      </c>
      <c r="G95" t="s">
        <v>133</v>
      </c>
      <c r="I95" s="76" t="s">
        <v>147</v>
      </c>
      <c r="J95" s="76" t="s">
        <v>148</v>
      </c>
      <c r="K95" t="s">
        <v>149</v>
      </c>
      <c r="N95" s="245"/>
      <c r="O95" s="245"/>
      <c r="P95" s="245"/>
      <c r="Q95" s="245"/>
      <c r="R95" s="245"/>
      <c r="S95" s="245"/>
      <c r="T95" s="245"/>
      <c r="U95" s="245"/>
    </row>
    <row r="96" spans="4:21">
      <c r="D96" t="s">
        <v>138</v>
      </c>
      <c r="E96" s="41">
        <v>1</v>
      </c>
      <c r="F96" s="41">
        <v>22</v>
      </c>
      <c r="G96">
        <f>F96*E96</f>
        <v>22</v>
      </c>
      <c r="I96" s="41">
        <v>2</v>
      </c>
      <c r="J96">
        <f>1/I96</f>
        <v>0.5</v>
      </c>
      <c r="K96">
        <f>J96*G96</f>
        <v>11</v>
      </c>
    </row>
    <row r="97" spans="4:11">
      <c r="D97" t="s">
        <v>139</v>
      </c>
      <c r="E97" s="41">
        <v>1</v>
      </c>
      <c r="F97" s="41">
        <v>45</v>
      </c>
      <c r="G97">
        <f t="shared" ref="G97:G98" si="4">F97*E97</f>
        <v>45</v>
      </c>
      <c r="I97" s="41">
        <v>3</v>
      </c>
      <c r="J97">
        <f>1/I97</f>
        <v>0.33333333333333331</v>
      </c>
      <c r="K97">
        <f>J97*G97</f>
        <v>15</v>
      </c>
    </row>
    <row r="98" spans="4:11">
      <c r="D98" t="s">
        <v>140</v>
      </c>
      <c r="E98" s="41"/>
      <c r="F98" s="41"/>
      <c r="G98">
        <f t="shared" si="4"/>
        <v>0</v>
      </c>
      <c r="I98" s="41"/>
    </row>
    <row r="99" spans="4:11">
      <c r="E99" s="41"/>
      <c r="F99" s="41"/>
      <c r="I99" s="41"/>
    </row>
    <row r="100" spans="4:11" ht="18.75">
      <c r="D100" t="s">
        <v>142</v>
      </c>
      <c r="E100">
        <f>SUM(E96:E99)</f>
        <v>2</v>
      </c>
      <c r="G100">
        <f>SUM(G96:G99)</f>
        <v>67</v>
      </c>
      <c r="I100" s="1" t="s">
        <v>146</v>
      </c>
      <c r="J100" s="1" t="s">
        <v>151</v>
      </c>
      <c r="K100" s="1">
        <f>SUM(K96:K99)</f>
        <v>26</v>
      </c>
    </row>
    <row r="103" spans="4:11">
      <c r="D103" s="1" t="s">
        <v>23</v>
      </c>
      <c r="E103" s="1"/>
      <c r="F103" s="1"/>
      <c r="G103" s="1"/>
    </row>
    <row r="104" spans="4:11">
      <c r="D104" s="1" t="s">
        <v>155</v>
      </c>
      <c r="E104" s="1"/>
      <c r="F104" s="1">
        <f>F78-(G91+G100)</f>
        <v>1172</v>
      </c>
      <c r="G104" s="1" t="s">
        <v>95</v>
      </c>
    </row>
    <row r="106" spans="4:11">
      <c r="D106" t="s">
        <v>177</v>
      </c>
    </row>
    <row r="107" spans="4:11">
      <c r="D107" s="2" t="s">
        <v>178</v>
      </c>
    </row>
    <row r="108" spans="4:11" ht="21" customHeight="1">
      <c r="D108" t="s">
        <v>183</v>
      </c>
      <c r="E108" s="41">
        <v>8</v>
      </c>
      <c r="G108" s="153" t="s">
        <v>184</v>
      </c>
    </row>
    <row r="109" spans="4:11">
      <c r="D109" t="s">
        <v>179</v>
      </c>
      <c r="E109" s="41">
        <v>240</v>
      </c>
      <c r="F109" t="s">
        <v>95</v>
      </c>
      <c r="G109" s="45">
        <f>(SQRT(12^2+$E$108^2)*E109)/$E$108</f>
        <v>432.66615305567871</v>
      </c>
    </row>
    <row r="110" spans="4:11">
      <c r="D110" t="s">
        <v>180</v>
      </c>
      <c r="E110" s="41">
        <v>240</v>
      </c>
      <c r="F110" t="s">
        <v>95</v>
      </c>
      <c r="G110" s="45">
        <f t="shared" ref="G110:G112" si="5">(SQRT(12^2+$E$108^2)*E110)/$E$108</f>
        <v>432.66615305567871</v>
      </c>
    </row>
    <row r="111" spans="4:11">
      <c r="D111" t="s">
        <v>181</v>
      </c>
      <c r="E111" s="41">
        <v>0</v>
      </c>
      <c r="F111" t="s">
        <v>95</v>
      </c>
      <c r="G111" s="45">
        <f t="shared" si="5"/>
        <v>0</v>
      </c>
    </row>
    <row r="112" spans="4:11">
      <c r="D112" t="s">
        <v>182</v>
      </c>
      <c r="E112" s="41">
        <v>0</v>
      </c>
      <c r="F112" t="s">
        <v>95</v>
      </c>
      <c r="G112" s="45">
        <f t="shared" si="5"/>
        <v>0</v>
      </c>
    </row>
    <row r="113" spans="4:8">
      <c r="D113" s="1" t="s">
        <v>185</v>
      </c>
      <c r="E113" s="1"/>
      <c r="F113" s="1"/>
      <c r="G113" s="83">
        <v>1888</v>
      </c>
      <c r="H113" s="1" t="s">
        <v>95</v>
      </c>
    </row>
  </sheetData>
  <mergeCells count="6">
    <mergeCell ref="G92:H92"/>
    <mergeCell ref="P3:S3"/>
    <mergeCell ref="H50:I50"/>
    <mergeCell ref="C62:M62"/>
    <mergeCell ref="C63:M63"/>
    <mergeCell ref="M80:Q80"/>
  </mergeCell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House Details</vt:lpstr>
      <vt:lpstr>Takeoff</vt:lpstr>
      <vt:lpstr>Conduction</vt:lpstr>
      <vt:lpstr>Air</vt:lpstr>
      <vt:lpstr>Total losses</vt:lpstr>
      <vt:lpstr>Framing factors</vt:lpstr>
      <vt:lpstr>House Details (2)</vt:lpstr>
      <vt:lpstr>House Details (3)</vt:lpstr>
      <vt:lpstr>Z1_</vt:lpstr>
      <vt:lpstr>Z2_</vt:lpstr>
    </vt:vector>
  </TitlesOfParts>
  <Company>University of Massachusetts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nrc123</dc:creator>
  <cp:lastModifiedBy>Alison Moynihan</cp:lastModifiedBy>
  <dcterms:created xsi:type="dcterms:W3CDTF">2013-10-02T17:29:06Z</dcterms:created>
  <dcterms:modified xsi:type="dcterms:W3CDTF">2014-12-08T14:52:33Z</dcterms:modified>
</cp:coreProperties>
</file>